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mienmarov\Documents\! Financials\Database Data\"/>
    </mc:Choice>
  </mc:AlternateContent>
  <bookViews>
    <workbookView xWindow="0" yWindow="0" windowWidth="25600" windowHeight="10240"/>
  </bookViews>
  <sheets>
    <sheet name="NBN_MWI &amp; Pipe Dat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_________NSW1" localSheetId="0" hidden="1">{#N/A,#N/A,FALSE,"RESULTS";#N/A,#N/A,FALSE,"FORECAST";#N/A,#N/A,FALSE,"ProvGraph";#N/A,#N/A,FALSE,"FittGraph";#N/A,#N/A,FALSE,"NEG PROV";#N/A,#N/A,FALSE,"PROVCOSTGRAPH";#N/A,#N/A,FALSE,"HireGraph"}</definedName>
    <definedName name="__________NSW1" hidden="1">{#N/A,#N/A,FALSE,"RESULTS";#N/A,#N/A,FALSE,"FORECAST";#N/A,#N/A,FALSE,"ProvGraph";#N/A,#N/A,FALSE,"FittGraph";#N/A,#N/A,FALSE,"NEG PROV";#N/A,#N/A,FALSE,"PROVCOSTGRAPH";#N/A,#N/A,FALSE,"HireGraph"}</definedName>
    <definedName name="__________OH1" localSheetId="0" hidden="1">{#N/A,#N/A,FALSE,"RESULTS";#N/A,#N/A,FALSE,"FORECAST";#N/A,#N/A,FALSE,"ProvGraph";#N/A,#N/A,FALSE,"NEG PROV";#N/A,#N/A,FALSE,"PROVCOSTGRAPH";#N/A,#N/A,FALSE,"FittGraph";#N/A,#N/A,FALSE,"HireGraph"}</definedName>
    <definedName name="__________OH1" hidden="1">{#N/A,#N/A,FALSE,"RESULTS";#N/A,#N/A,FALSE,"FORECAST";#N/A,#N/A,FALSE,"ProvGraph";#N/A,#N/A,FALSE,"NEG PROV";#N/A,#N/A,FALSE,"PROVCOSTGRAPH";#N/A,#N/A,FALSE,"FittGraph";#N/A,#N/A,FALSE,"HireGraph"}</definedName>
    <definedName name="__________OHO1" localSheetId="0" hidden="1">{#N/A,#N/A,FALSE,"RESULTS";#N/A,#N/A,FALSE,"FORECAST";#N/A,#N/A,FALSE,"ProvGraph";#N/A,#N/A,FALSE,"FittGraph";#N/A,#N/A,FALSE,"NEG PROV";#N/A,#N/A,FALSE,"PROVCOSTGRAPH";#N/A,#N/A,FALSE,"HireGraph"}</definedName>
    <definedName name="__________OHO1" hidden="1">{#N/A,#N/A,FALSE,"RESULTS";#N/A,#N/A,FALSE,"FORECAST";#N/A,#N/A,FALSE,"ProvGraph";#N/A,#N/A,FALSE,"FittGraph";#N/A,#N/A,FALSE,"NEG PROV";#N/A,#N/A,FALSE,"PROVCOSTGRAPH";#N/A,#N/A,FALSE,"HireGraph"}</definedName>
    <definedName name="__________OHO2" localSheetId="0" hidden="1">{#N/A,#N/A,FALSE,"RESULTS";#N/A,#N/A,FALSE,"FORECAST";#N/A,#N/A,FALSE,"ProvGraph";#N/A,#N/A,FALSE,"NEG PROV";#N/A,#N/A,FALSE,"PROVCOSTGRAPH";#N/A,#N/A,FALSE,"FittGraph";#N/A,#N/A,FALSE,"HireGraph"}</definedName>
    <definedName name="__________OHO2" hidden="1">{#N/A,#N/A,FALSE,"RESULTS";#N/A,#N/A,FALSE,"FORECAST";#N/A,#N/A,FALSE,"ProvGraph";#N/A,#N/A,FALSE,"NEG PROV";#N/A,#N/A,FALSE,"PROVCOSTGRAPH";#N/A,#N/A,FALSE,"FittGraph";#N/A,#N/A,FALSE,"HireGraph"}</definedName>
    <definedName name="________JUN09" localSheetId="0" hidden="1">{#N/A,#N/A,FALSE,"RESULTS";#N/A,#N/A,FALSE,"FORECAST";#N/A,#N/A,FALSE,"ProvGraph";#N/A,#N/A,FALSE,"NEG PROV";#N/A,#N/A,FALSE,"PROVCOSTGRAPH";#N/A,#N/A,FALSE,"FittGraph";#N/A,#N/A,FALSE,"HireGraph"}</definedName>
    <definedName name="________JUN09" hidden="1">{#N/A,#N/A,FALSE,"RESULTS";#N/A,#N/A,FALSE,"FORECAST";#N/A,#N/A,FALSE,"ProvGraph";#N/A,#N/A,FALSE,"NEG PROV";#N/A,#N/A,FALSE,"PROVCOSTGRAPH";#N/A,#N/A,FALSE,"FittGraph";#N/A,#N/A,FALSE,"HireGraph"}</definedName>
    <definedName name="________NSW1" localSheetId="0" hidden="1">{#N/A,#N/A,FALSE,"RESULTS";#N/A,#N/A,FALSE,"FORECAST";#N/A,#N/A,FALSE,"ProvGraph";#N/A,#N/A,FALSE,"FittGraph";#N/A,#N/A,FALSE,"NEG PROV";#N/A,#N/A,FALSE,"PROVCOSTGRAPH";#N/A,#N/A,FALSE,"HireGraph"}</definedName>
    <definedName name="________NSW1" hidden="1">{#N/A,#N/A,FALSE,"RESULTS";#N/A,#N/A,FALSE,"FORECAST";#N/A,#N/A,FALSE,"ProvGraph";#N/A,#N/A,FALSE,"FittGraph";#N/A,#N/A,FALSE,"NEG PROV";#N/A,#N/A,FALSE,"PROVCOSTGRAPH";#N/A,#N/A,FALSE,"HireGraph"}</definedName>
    <definedName name="________OH1" localSheetId="0" hidden="1">{#N/A,#N/A,FALSE,"RESULTS";#N/A,#N/A,FALSE,"FORECAST";#N/A,#N/A,FALSE,"ProvGraph";#N/A,#N/A,FALSE,"NEG PROV";#N/A,#N/A,FALSE,"PROVCOSTGRAPH";#N/A,#N/A,FALSE,"FittGraph";#N/A,#N/A,FALSE,"HireGraph"}</definedName>
    <definedName name="________OH1" hidden="1">{#N/A,#N/A,FALSE,"RESULTS";#N/A,#N/A,FALSE,"FORECAST";#N/A,#N/A,FALSE,"ProvGraph";#N/A,#N/A,FALSE,"NEG PROV";#N/A,#N/A,FALSE,"PROVCOSTGRAPH";#N/A,#N/A,FALSE,"FittGraph";#N/A,#N/A,FALSE,"HireGraph"}</definedName>
    <definedName name="________OHO1" localSheetId="0" hidden="1">{#N/A,#N/A,FALSE,"RESULTS";#N/A,#N/A,FALSE,"FORECAST";#N/A,#N/A,FALSE,"ProvGraph";#N/A,#N/A,FALSE,"FittGraph";#N/A,#N/A,FALSE,"NEG PROV";#N/A,#N/A,FALSE,"PROVCOSTGRAPH";#N/A,#N/A,FALSE,"HireGraph"}</definedName>
    <definedName name="________OHO1" hidden="1">{#N/A,#N/A,FALSE,"RESULTS";#N/A,#N/A,FALSE,"FORECAST";#N/A,#N/A,FALSE,"ProvGraph";#N/A,#N/A,FALSE,"FittGraph";#N/A,#N/A,FALSE,"NEG PROV";#N/A,#N/A,FALSE,"PROVCOSTGRAPH";#N/A,#N/A,FALSE,"HireGraph"}</definedName>
    <definedName name="________OHO2" localSheetId="0" hidden="1">{#N/A,#N/A,FALSE,"RESULTS";#N/A,#N/A,FALSE,"FORECAST";#N/A,#N/A,FALSE,"ProvGraph";#N/A,#N/A,FALSE,"NEG PROV";#N/A,#N/A,FALSE,"PROVCOSTGRAPH";#N/A,#N/A,FALSE,"FittGraph";#N/A,#N/A,FALSE,"HireGraph"}</definedName>
    <definedName name="________OHO2" hidden="1">{#N/A,#N/A,FALSE,"RESULTS";#N/A,#N/A,FALSE,"FORECAST";#N/A,#N/A,FALSE,"ProvGraph";#N/A,#N/A,FALSE,"NEG PROV";#N/A,#N/A,FALSE,"PROVCOSTGRAPH";#N/A,#N/A,FALSE,"FittGraph";#N/A,#N/A,FALSE,"HireGraph"}</definedName>
    <definedName name="______JUN09" localSheetId="0" hidden="1">{#N/A,#N/A,FALSE,"RESULTS";#N/A,#N/A,FALSE,"FORECAST";#N/A,#N/A,FALSE,"ProvGraph";#N/A,#N/A,FALSE,"NEG PROV";#N/A,#N/A,FALSE,"PROVCOSTGRAPH";#N/A,#N/A,FALSE,"FittGraph";#N/A,#N/A,FALSE,"HireGraph"}</definedName>
    <definedName name="______JUN09" hidden="1">{#N/A,#N/A,FALSE,"RESULTS";#N/A,#N/A,FALSE,"FORECAST";#N/A,#N/A,FALSE,"ProvGraph";#N/A,#N/A,FALSE,"NEG PROV";#N/A,#N/A,FALSE,"PROVCOSTGRAPH";#N/A,#N/A,FALSE,"FittGraph";#N/A,#N/A,FALSE,"HireGraph"}</definedName>
    <definedName name="______NSW1" localSheetId="0" hidden="1">{#N/A,#N/A,FALSE,"RESULTS";#N/A,#N/A,FALSE,"FORECAST";#N/A,#N/A,FALSE,"ProvGraph";#N/A,#N/A,FALSE,"FittGraph";#N/A,#N/A,FALSE,"NEG PROV";#N/A,#N/A,FALSE,"PROVCOSTGRAPH";#N/A,#N/A,FALSE,"HireGraph"}</definedName>
    <definedName name="______NSW1" hidden="1">{#N/A,#N/A,FALSE,"RESULTS";#N/A,#N/A,FALSE,"FORECAST";#N/A,#N/A,FALSE,"ProvGraph";#N/A,#N/A,FALSE,"FittGraph";#N/A,#N/A,FALSE,"NEG PROV";#N/A,#N/A,FALSE,"PROVCOSTGRAPH";#N/A,#N/A,FALSE,"HireGraph"}</definedName>
    <definedName name="______OH1" localSheetId="0" hidden="1">{#N/A,#N/A,FALSE,"RESULTS";#N/A,#N/A,FALSE,"FORECAST";#N/A,#N/A,FALSE,"ProvGraph";#N/A,#N/A,FALSE,"NEG PROV";#N/A,#N/A,FALSE,"PROVCOSTGRAPH";#N/A,#N/A,FALSE,"FittGraph";#N/A,#N/A,FALSE,"HireGraph"}</definedName>
    <definedName name="______OH1" hidden="1">{#N/A,#N/A,FALSE,"RESULTS";#N/A,#N/A,FALSE,"FORECAST";#N/A,#N/A,FALSE,"ProvGraph";#N/A,#N/A,FALSE,"NEG PROV";#N/A,#N/A,FALSE,"PROVCOSTGRAPH";#N/A,#N/A,FALSE,"FittGraph";#N/A,#N/A,FALSE,"HireGraph"}</definedName>
    <definedName name="______OHO1" localSheetId="0" hidden="1">{#N/A,#N/A,FALSE,"RESULTS";#N/A,#N/A,FALSE,"FORECAST";#N/A,#N/A,FALSE,"ProvGraph";#N/A,#N/A,FALSE,"FittGraph";#N/A,#N/A,FALSE,"NEG PROV";#N/A,#N/A,FALSE,"PROVCOSTGRAPH";#N/A,#N/A,FALSE,"HireGraph"}</definedName>
    <definedName name="______OHO1" hidden="1">{#N/A,#N/A,FALSE,"RESULTS";#N/A,#N/A,FALSE,"FORECAST";#N/A,#N/A,FALSE,"ProvGraph";#N/A,#N/A,FALSE,"FittGraph";#N/A,#N/A,FALSE,"NEG PROV";#N/A,#N/A,FALSE,"PROVCOSTGRAPH";#N/A,#N/A,FALSE,"HireGraph"}</definedName>
    <definedName name="______OHO2" localSheetId="0" hidden="1">{#N/A,#N/A,FALSE,"RESULTS";#N/A,#N/A,FALSE,"FORECAST";#N/A,#N/A,FALSE,"ProvGraph";#N/A,#N/A,FALSE,"NEG PROV";#N/A,#N/A,FALSE,"PROVCOSTGRAPH";#N/A,#N/A,FALSE,"FittGraph";#N/A,#N/A,FALSE,"HireGraph"}</definedName>
    <definedName name="______OHO2" hidden="1">{#N/A,#N/A,FALSE,"RESULTS";#N/A,#N/A,FALSE,"FORECAST";#N/A,#N/A,FALSE,"ProvGraph";#N/A,#N/A,FALSE,"NEG PROV";#N/A,#N/A,FALSE,"PROVCOSTGRAPH";#N/A,#N/A,FALSE,"FittGraph";#N/A,#N/A,FALSE,"HireGraph"}</definedName>
    <definedName name="_____NSW1" localSheetId="0" hidden="1">{#N/A,#N/A,FALSE,"RESULTS";#N/A,#N/A,FALSE,"FORECAST";#N/A,#N/A,FALSE,"ProvGraph";#N/A,#N/A,FALSE,"FittGraph";#N/A,#N/A,FALSE,"NEG PROV";#N/A,#N/A,FALSE,"PROVCOSTGRAPH";#N/A,#N/A,FALSE,"HireGraph"}</definedName>
    <definedName name="_____NSW1" hidden="1">{#N/A,#N/A,FALSE,"RESULTS";#N/A,#N/A,FALSE,"FORECAST";#N/A,#N/A,FALSE,"ProvGraph";#N/A,#N/A,FALSE,"FittGraph";#N/A,#N/A,FALSE,"NEG PROV";#N/A,#N/A,FALSE,"PROVCOSTGRAPH";#N/A,#N/A,FALSE,"HireGraph"}</definedName>
    <definedName name="_____OH1" localSheetId="0" hidden="1">{#N/A,#N/A,FALSE,"RESULTS";#N/A,#N/A,FALSE,"FORECAST";#N/A,#N/A,FALSE,"ProvGraph";#N/A,#N/A,FALSE,"NEG PROV";#N/A,#N/A,FALSE,"PROVCOSTGRAPH";#N/A,#N/A,FALSE,"FittGraph";#N/A,#N/A,FALSE,"HireGraph"}</definedName>
    <definedName name="_____OH1" hidden="1">{#N/A,#N/A,FALSE,"RESULTS";#N/A,#N/A,FALSE,"FORECAST";#N/A,#N/A,FALSE,"ProvGraph";#N/A,#N/A,FALSE,"NEG PROV";#N/A,#N/A,FALSE,"PROVCOSTGRAPH";#N/A,#N/A,FALSE,"FittGraph";#N/A,#N/A,FALSE,"HireGraph"}</definedName>
    <definedName name="_____OHO1" localSheetId="0" hidden="1">{#N/A,#N/A,FALSE,"RESULTS";#N/A,#N/A,FALSE,"FORECAST";#N/A,#N/A,FALSE,"ProvGraph";#N/A,#N/A,FALSE,"FittGraph";#N/A,#N/A,FALSE,"NEG PROV";#N/A,#N/A,FALSE,"PROVCOSTGRAPH";#N/A,#N/A,FALSE,"HireGraph"}</definedName>
    <definedName name="_____OHO1" hidden="1">{#N/A,#N/A,FALSE,"RESULTS";#N/A,#N/A,FALSE,"FORECAST";#N/A,#N/A,FALSE,"ProvGraph";#N/A,#N/A,FALSE,"FittGraph";#N/A,#N/A,FALSE,"NEG PROV";#N/A,#N/A,FALSE,"PROVCOSTGRAPH";#N/A,#N/A,FALSE,"HireGraph"}</definedName>
    <definedName name="_____OHO2" localSheetId="0" hidden="1">{#N/A,#N/A,FALSE,"RESULTS";#N/A,#N/A,FALSE,"FORECAST";#N/A,#N/A,FALSE,"ProvGraph";#N/A,#N/A,FALSE,"NEG PROV";#N/A,#N/A,FALSE,"PROVCOSTGRAPH";#N/A,#N/A,FALSE,"FittGraph";#N/A,#N/A,FALSE,"HireGraph"}</definedName>
    <definedName name="_____OHO2" hidden="1">{#N/A,#N/A,FALSE,"RESULTS";#N/A,#N/A,FALSE,"FORECAST";#N/A,#N/A,FALSE,"ProvGraph";#N/A,#N/A,FALSE,"NEG PROV";#N/A,#N/A,FALSE,"PROVCOSTGRAPH";#N/A,#N/A,FALSE,"FittGraph";#N/A,#N/A,FALSE,"HireGraph"}</definedName>
    <definedName name="____JUN09" localSheetId="0" hidden="1">{#N/A,#N/A,FALSE,"RESULTS";#N/A,#N/A,FALSE,"FORECAST";#N/A,#N/A,FALSE,"ProvGraph";#N/A,#N/A,FALSE,"NEG PROV";#N/A,#N/A,FALSE,"PROVCOSTGRAPH";#N/A,#N/A,FALSE,"FittGraph";#N/A,#N/A,FALSE,"HireGraph"}</definedName>
    <definedName name="____JUN09" hidden="1">{#N/A,#N/A,FALSE,"RESULTS";#N/A,#N/A,FALSE,"FORECAST";#N/A,#N/A,FALSE,"ProvGraph";#N/A,#N/A,FALSE,"NEG PROV";#N/A,#N/A,FALSE,"PROVCOSTGRAPH";#N/A,#N/A,FALSE,"FittGraph";#N/A,#N/A,FALSE,"HireGraph"}</definedName>
    <definedName name="____NSW1" localSheetId="0" hidden="1">{#N/A,#N/A,FALSE,"RESULTS";#N/A,#N/A,FALSE,"FORECAST";#N/A,#N/A,FALSE,"ProvGraph";#N/A,#N/A,FALSE,"FittGraph";#N/A,#N/A,FALSE,"NEG PROV";#N/A,#N/A,FALSE,"PROVCOSTGRAPH";#N/A,#N/A,FALSE,"HireGraph"}</definedName>
    <definedName name="____NSW1" hidden="1">{#N/A,#N/A,FALSE,"RESULTS";#N/A,#N/A,FALSE,"FORECAST";#N/A,#N/A,FALSE,"ProvGraph";#N/A,#N/A,FALSE,"FittGraph";#N/A,#N/A,FALSE,"NEG PROV";#N/A,#N/A,FALSE,"PROVCOSTGRAPH";#N/A,#N/A,FALSE,"HireGraph"}</definedName>
    <definedName name="____OH1" localSheetId="0" hidden="1">{#N/A,#N/A,FALSE,"RESULTS";#N/A,#N/A,FALSE,"FORECAST";#N/A,#N/A,FALSE,"ProvGraph";#N/A,#N/A,FALSE,"NEG PROV";#N/A,#N/A,FALSE,"PROVCOSTGRAPH";#N/A,#N/A,FALSE,"FittGraph";#N/A,#N/A,FALSE,"HireGraph"}</definedName>
    <definedName name="____OH1" hidden="1">{#N/A,#N/A,FALSE,"RESULTS";#N/A,#N/A,FALSE,"FORECAST";#N/A,#N/A,FALSE,"ProvGraph";#N/A,#N/A,FALSE,"NEG PROV";#N/A,#N/A,FALSE,"PROVCOSTGRAPH";#N/A,#N/A,FALSE,"FittGraph";#N/A,#N/A,FALSE,"HireGraph"}</definedName>
    <definedName name="____OHO1" localSheetId="0" hidden="1">{#N/A,#N/A,FALSE,"RESULTS";#N/A,#N/A,FALSE,"FORECAST";#N/A,#N/A,FALSE,"ProvGraph";#N/A,#N/A,FALSE,"FittGraph";#N/A,#N/A,FALSE,"NEG PROV";#N/A,#N/A,FALSE,"PROVCOSTGRAPH";#N/A,#N/A,FALSE,"HireGraph"}</definedName>
    <definedName name="____OHO1" hidden="1">{#N/A,#N/A,FALSE,"RESULTS";#N/A,#N/A,FALSE,"FORECAST";#N/A,#N/A,FALSE,"ProvGraph";#N/A,#N/A,FALSE,"FittGraph";#N/A,#N/A,FALSE,"NEG PROV";#N/A,#N/A,FALSE,"PROVCOSTGRAPH";#N/A,#N/A,FALSE,"HireGraph"}</definedName>
    <definedName name="____OHO2" localSheetId="0" hidden="1">{#N/A,#N/A,FALSE,"RESULTS";#N/A,#N/A,FALSE,"FORECAST";#N/A,#N/A,FALSE,"ProvGraph";#N/A,#N/A,FALSE,"NEG PROV";#N/A,#N/A,FALSE,"PROVCOSTGRAPH";#N/A,#N/A,FALSE,"FittGraph";#N/A,#N/A,FALSE,"HireGraph"}</definedName>
    <definedName name="____OHO2" hidden="1">{#N/A,#N/A,FALSE,"RESULTS";#N/A,#N/A,FALSE,"FORECAST";#N/A,#N/A,FALSE,"ProvGraph";#N/A,#N/A,FALSE,"NEG PROV";#N/A,#N/A,FALSE,"PROVCOSTGRAPH";#N/A,#N/A,FALSE,"FittGraph";#N/A,#N/A,FALSE,"HireGraph"}</definedName>
    <definedName name="___JUN09" localSheetId="0" hidden="1">{#N/A,#N/A,FALSE,"RESULTS";#N/A,#N/A,FALSE,"FORECAST";#N/A,#N/A,FALSE,"ProvGraph";#N/A,#N/A,FALSE,"NEG PROV";#N/A,#N/A,FALSE,"PROVCOSTGRAPH";#N/A,#N/A,FALSE,"FittGraph";#N/A,#N/A,FALSE,"HireGraph"}</definedName>
    <definedName name="___JUN09" hidden="1">{#N/A,#N/A,FALSE,"RESULTS";#N/A,#N/A,FALSE,"FORECAST";#N/A,#N/A,FALSE,"ProvGraph";#N/A,#N/A,FALSE,"NEG PROV";#N/A,#N/A,FALSE,"PROVCOSTGRAPH";#N/A,#N/A,FALSE,"FittGraph";#N/A,#N/A,FALSE,"HireGraph"}</definedName>
    <definedName name="__123Graph_A" hidden="1">'[1]Guarantee Sched'!$AE$11:$AE$45</definedName>
    <definedName name="__123Graph_B" hidden="1">'[1]Guarantee Sched'!$AF$11:$AF$45</definedName>
    <definedName name="__123Graph_C" hidden="1">'[1]Guarantee Sched'!$AG$11:$AG$45</definedName>
    <definedName name="__123Graph_D" hidden="1">'[1]Guarantee Sched'!$AH$11:$AH$45</definedName>
    <definedName name="__123Graph_E" hidden="1">'[1]Guarantee Sched'!$AI$11:$AI$45</definedName>
    <definedName name="__123Graph_F" hidden="1">'[1]Guarantee Sched'!$AJ$11:$AJ$45</definedName>
    <definedName name="__123Graph_X" hidden="1">'[1]Guarantee Sched'!$AD$11:$AD$46</definedName>
    <definedName name="__JUN09" localSheetId="0" hidden="1">{#N/A,#N/A,FALSE,"RESULTS";#N/A,#N/A,FALSE,"FORECAST";#N/A,#N/A,FALSE,"ProvGraph";#N/A,#N/A,FALSE,"NEG PROV";#N/A,#N/A,FALSE,"PROVCOSTGRAPH";#N/A,#N/A,FALSE,"FittGraph";#N/A,#N/A,FALSE,"HireGraph"}</definedName>
    <definedName name="__JUN09" hidden="1">{#N/A,#N/A,FALSE,"RESULTS";#N/A,#N/A,FALSE,"FORECAST";#N/A,#N/A,FALSE,"ProvGraph";#N/A,#N/A,FALSE,"NEG PROV";#N/A,#N/A,FALSE,"PROVCOSTGRAPH";#N/A,#N/A,FALSE,"FittGraph";#N/A,#N/A,FALSE,"HireGraph"}</definedName>
    <definedName name="__NSW1" localSheetId="0" hidden="1">{#N/A,#N/A,FALSE,"RESULTS";#N/A,#N/A,FALSE,"FORECAST";#N/A,#N/A,FALSE,"ProvGraph";#N/A,#N/A,FALSE,"FittGraph";#N/A,#N/A,FALSE,"NEG PROV";#N/A,#N/A,FALSE,"PROVCOSTGRAPH";#N/A,#N/A,FALSE,"HireGraph"}</definedName>
    <definedName name="__NSW1" hidden="1">{#N/A,#N/A,FALSE,"RESULTS";#N/A,#N/A,FALSE,"FORECAST";#N/A,#N/A,FALSE,"ProvGraph";#N/A,#N/A,FALSE,"FittGraph";#N/A,#N/A,FALSE,"NEG PROV";#N/A,#N/A,FALSE,"PROVCOSTGRAPH";#N/A,#N/A,FALSE,"HireGraph"}</definedName>
    <definedName name="__OH1" localSheetId="0" hidden="1">{#N/A,#N/A,FALSE,"RESULTS";#N/A,#N/A,FALSE,"FORECAST";#N/A,#N/A,FALSE,"ProvGraph";#N/A,#N/A,FALSE,"NEG PROV";#N/A,#N/A,FALSE,"PROVCOSTGRAPH";#N/A,#N/A,FALSE,"FittGraph";#N/A,#N/A,FALSE,"HireGraph"}</definedName>
    <definedName name="__OH1" hidden="1">{#N/A,#N/A,FALSE,"RESULTS";#N/A,#N/A,FALSE,"FORECAST";#N/A,#N/A,FALSE,"ProvGraph";#N/A,#N/A,FALSE,"NEG PROV";#N/A,#N/A,FALSE,"PROVCOSTGRAPH";#N/A,#N/A,FALSE,"FittGraph";#N/A,#N/A,FALSE,"HireGraph"}</definedName>
    <definedName name="__OHO1" localSheetId="0" hidden="1">{#N/A,#N/A,FALSE,"RESULTS";#N/A,#N/A,FALSE,"FORECAST";#N/A,#N/A,FALSE,"ProvGraph";#N/A,#N/A,FALSE,"FittGraph";#N/A,#N/A,FALSE,"NEG PROV";#N/A,#N/A,FALSE,"PROVCOSTGRAPH";#N/A,#N/A,FALSE,"HireGraph"}</definedName>
    <definedName name="__OHO1" hidden="1">{#N/A,#N/A,FALSE,"RESULTS";#N/A,#N/A,FALSE,"FORECAST";#N/A,#N/A,FALSE,"ProvGraph";#N/A,#N/A,FALSE,"FittGraph";#N/A,#N/A,FALSE,"NEG PROV";#N/A,#N/A,FALSE,"PROVCOSTGRAPH";#N/A,#N/A,FALSE,"HireGraph"}</definedName>
    <definedName name="__OHO2" localSheetId="0" hidden="1">{#N/A,#N/A,FALSE,"RESULTS";#N/A,#N/A,FALSE,"FORECAST";#N/A,#N/A,FALSE,"ProvGraph";#N/A,#N/A,FALSE,"NEG PROV";#N/A,#N/A,FALSE,"PROVCOSTGRAPH";#N/A,#N/A,FALSE,"FittGraph";#N/A,#N/A,FALSE,"HireGraph"}</definedName>
    <definedName name="__OHO2" hidden="1">{#N/A,#N/A,FALSE,"RESULTS";#N/A,#N/A,FALSE,"FORECAST";#N/A,#N/A,FALSE,"ProvGraph";#N/A,#N/A,FALSE,"NEG PROV";#N/A,#N/A,FALSE,"PROVCOSTGRAPH";#N/A,#N/A,FALSE,"FittGraph";#N/A,#N/A,FALSE,"HireGraph"}</definedName>
    <definedName name="_1__123Graph_ACHART_1" localSheetId="0" hidden="1">'[2]Shift Totals'!#REF!</definedName>
    <definedName name="_1__123Graph_ACHART_1" hidden="1">'[2]Shift Totals'!#REF!</definedName>
    <definedName name="_10__123Graph_BCHART_2" localSheetId="0" hidden="1">'[3]Target Data'!#REF!</definedName>
    <definedName name="_10__123Graph_BCHART_2" hidden="1">'[3]Target Data'!#REF!</definedName>
    <definedName name="_11__123Graph_BCHART_4" localSheetId="0" hidden="1">'[3]Target Data'!#REF!</definedName>
    <definedName name="_11__123Graph_BCHART_4" hidden="1">'[3]Target Data'!#REF!</definedName>
    <definedName name="_12__123Graph_ACHART_4" localSheetId="0" hidden="1">'[3]Target Data'!#REF!</definedName>
    <definedName name="_12__123Graph_ACHART_4" hidden="1">'[3]Target Data'!#REF!</definedName>
    <definedName name="_12__123Graph_BCHART_5" localSheetId="0" hidden="1">'[3]Target Data'!#REF!</definedName>
    <definedName name="_12__123Graph_BCHART_5" hidden="1">'[3]Target Data'!#REF!</definedName>
    <definedName name="_13__123Graph_BCHART_7" localSheetId="0" hidden="1">'[3]Target Data'!#REF!</definedName>
    <definedName name="_13__123Graph_BCHART_7" hidden="1">'[3]Target Data'!#REF!</definedName>
    <definedName name="_14__123Graph_BCHART_8" localSheetId="0" hidden="1">'[3]Target Data'!#REF!</definedName>
    <definedName name="_14__123Graph_BCHART_8" hidden="1">'[3]Target Data'!#REF!</definedName>
    <definedName name="_15__123Graph_ACHART_5" localSheetId="0" hidden="1">'[3]Target Data'!#REF!</definedName>
    <definedName name="_15__123Graph_ACHART_5" hidden="1">'[3]Target Data'!#REF!</definedName>
    <definedName name="_15__123Graph_CCHART_16" localSheetId="0" hidden="1">'[2]Shift Totals'!#REF!</definedName>
    <definedName name="_15__123Graph_CCHART_16" hidden="1">'[2]Shift Totals'!#REF!</definedName>
    <definedName name="_16__123Graph_DCHART_1" localSheetId="0" hidden="1">'[2]Shift Totals'!#REF!</definedName>
    <definedName name="_16__123Graph_DCHART_1" hidden="1">'[2]Shift Totals'!#REF!</definedName>
    <definedName name="_17__123Graph_DCHART_16" localSheetId="0" hidden="1">'[2]Shift Totals'!#REF!</definedName>
    <definedName name="_17__123Graph_DCHART_16" hidden="1">'[2]Shift Totals'!#REF!</definedName>
    <definedName name="_18__123Graph_ACHART_7" localSheetId="0" hidden="1">'[3]Target Data'!#REF!</definedName>
    <definedName name="_18__123Graph_ACHART_7" hidden="1">'[3]Target Data'!#REF!</definedName>
    <definedName name="_18__123Graph_ECHART_1" localSheetId="0" hidden="1">'[2]Shift Totals'!#REF!</definedName>
    <definedName name="_18__123Graph_ECHART_1" hidden="1">'[2]Shift Totals'!#REF!</definedName>
    <definedName name="_19__123Graph_LBL_ACHART_1" localSheetId="0" hidden="1">'[2]Shift Totals'!#REF!</definedName>
    <definedName name="_19__123Graph_LBL_ACHART_1" hidden="1">'[2]Shift Totals'!#REF!</definedName>
    <definedName name="_2__123Graph_ACHART_16" localSheetId="0" hidden="1">'[2]Shift Totals'!#REF!</definedName>
    <definedName name="_2__123Graph_ACHART_16" hidden="1">'[2]Shift Totals'!#REF!</definedName>
    <definedName name="_20__123Graph_LBL_ACHART_16" localSheetId="0" hidden="1">'[2]Shift Totals'!#REF!</definedName>
    <definedName name="_20__123Graph_LBL_ACHART_16" hidden="1">'[2]Shift Totals'!#REF!</definedName>
    <definedName name="_21__123Graph_ACHART_8" localSheetId="0" hidden="1">'[3]Target Data'!#REF!</definedName>
    <definedName name="_21__123Graph_ACHART_8" hidden="1">'[3]Target Data'!#REF!</definedName>
    <definedName name="_21__123Graph_LBL_ACHART_4" localSheetId="0" hidden="1">'[3]Target Data'!#REF!</definedName>
    <definedName name="_21__123Graph_LBL_ACHART_4" hidden="1">'[3]Target Data'!#REF!</definedName>
    <definedName name="_22__123Graph_LBL_ACHART_5" localSheetId="0" hidden="1">'[3]Target Data'!#REF!</definedName>
    <definedName name="_22__123Graph_LBL_ACHART_5" hidden="1">'[3]Target Data'!#REF!</definedName>
    <definedName name="_23__123Graph_LBL_BCHART_1" localSheetId="0" hidden="1">'[2]Shift Totals'!#REF!</definedName>
    <definedName name="_23__123Graph_LBL_BCHART_1" hidden="1">'[2]Shift Totals'!#REF!</definedName>
    <definedName name="_24__123Graph_BCHART_1" localSheetId="0" hidden="1">'[2]Shift Totals'!#REF!</definedName>
    <definedName name="_24__123Graph_BCHART_1" hidden="1">'[2]Shift Totals'!#REF!</definedName>
    <definedName name="_24__123Graph_LBL_BCHART_16" localSheetId="0" hidden="1">'[2]Shift Totals'!#REF!</definedName>
    <definedName name="_24__123Graph_LBL_BCHART_16" hidden="1">'[2]Shift Totals'!#REF!</definedName>
    <definedName name="_25__123Graph_LBL_BCHART_4" localSheetId="0" hidden="1">'[3]Target Data'!#REF!</definedName>
    <definedName name="_25__123Graph_LBL_BCHART_4" hidden="1">'[3]Target Data'!#REF!</definedName>
    <definedName name="_26__123Graph_LBL_BCHART_5" localSheetId="0" hidden="1">'[3]Target Data'!#REF!</definedName>
    <definedName name="_26__123Graph_LBL_BCHART_5" hidden="1">'[3]Target Data'!#REF!</definedName>
    <definedName name="_27__123Graph_BCHART_16" localSheetId="0" hidden="1">'[2]Shift Totals'!#REF!</definedName>
    <definedName name="_27__123Graph_BCHART_16" hidden="1">'[2]Shift Totals'!#REF!</definedName>
    <definedName name="_27__123Graph_LBL_CCHART_16" localSheetId="0" hidden="1">'[2]Shift Totals'!#REF!</definedName>
    <definedName name="_27__123Graph_LBL_CCHART_16" hidden="1">'[2]Shift Totals'!#REF!</definedName>
    <definedName name="_28__123Graph_LBL_DCHART_1" localSheetId="0" hidden="1">'[2]Shift Totals'!#REF!</definedName>
    <definedName name="_28__123Graph_LBL_DCHART_1" hidden="1">'[2]Shift Totals'!#REF!</definedName>
    <definedName name="_29__123Graph_LBL_DCHART_16" localSheetId="0" hidden="1">'[2]Shift Totals'!#REF!</definedName>
    <definedName name="_29__123Graph_LBL_DCHART_16" hidden="1">'[2]Shift Totals'!#REF!</definedName>
    <definedName name="_3__123Graph_ACHART_1" localSheetId="0" hidden="1">'[2]Shift Totals'!#REF!</definedName>
    <definedName name="_3__123Graph_ACHART_1" hidden="1">'[2]Shift Totals'!#REF!</definedName>
    <definedName name="_3__123Graph_ACHART_2" localSheetId="0" hidden="1">'[3]Target Data'!#REF!</definedName>
    <definedName name="_3__123Graph_ACHART_2" hidden="1">'[3]Target Data'!#REF!</definedName>
    <definedName name="_30__123Graph_BCHART_2" localSheetId="0" hidden="1">'[3]Target Data'!#REF!</definedName>
    <definedName name="_30__123Graph_BCHART_2" hidden="1">'[3]Target Data'!#REF!</definedName>
    <definedName name="_30__123Graph_XCHART_5" localSheetId="0" hidden="1">'[3]Target Data'!#REF!</definedName>
    <definedName name="_30__123Graph_XCHART_5" hidden="1">'[3]Target Data'!#REF!</definedName>
    <definedName name="_31__123Graph_XCHART_7" localSheetId="0" hidden="1">'[3]Target Data'!#REF!</definedName>
    <definedName name="_31__123Graph_XCHART_7" hidden="1">'[3]Target Data'!#REF!</definedName>
    <definedName name="_32__123Graph_XCHART_8" localSheetId="0" hidden="1">'[3]Target Data'!#REF!</definedName>
    <definedName name="_32__123Graph_XCHART_8" hidden="1">'[3]Target Data'!#REF!</definedName>
    <definedName name="_33__123Graph_BCHART_4" localSheetId="0" hidden="1">'[3]Target Data'!#REF!</definedName>
    <definedName name="_33__123Graph_BCHART_4" hidden="1">'[3]Target Data'!#REF!</definedName>
    <definedName name="_36__123Graph_BCHART_5" localSheetId="0" hidden="1">'[3]Target Data'!#REF!</definedName>
    <definedName name="_36__123Graph_BCHART_5" hidden="1">'[3]Target Data'!#REF!</definedName>
    <definedName name="_39__123Graph_BCHART_7" localSheetId="0" hidden="1">'[3]Target Data'!#REF!</definedName>
    <definedName name="_39__123Graph_BCHART_7" hidden="1">'[3]Target Data'!#REF!</definedName>
    <definedName name="_4__123Graph_ACHART_4" localSheetId="0" hidden="1">'[3]Target Data'!#REF!</definedName>
    <definedName name="_4__123Graph_ACHART_4" hidden="1">'[3]Target Data'!#REF!</definedName>
    <definedName name="_42__123Graph_BCHART_8" localSheetId="0" hidden="1">'[3]Target Data'!#REF!</definedName>
    <definedName name="_42__123Graph_BCHART_8" hidden="1">'[3]Target Data'!#REF!</definedName>
    <definedName name="_45__123Graph_CCHART_16" localSheetId="0" hidden="1">'[2]Shift Totals'!#REF!</definedName>
    <definedName name="_45__123Graph_CCHART_16" hidden="1">'[2]Shift Totals'!#REF!</definedName>
    <definedName name="_48__123Graph_DCHART_1" localSheetId="0" hidden="1">'[2]Shift Totals'!#REF!</definedName>
    <definedName name="_48__123Graph_DCHART_1" hidden="1">'[2]Shift Totals'!#REF!</definedName>
    <definedName name="_5__123Graph_ACHART_5" localSheetId="0" hidden="1">'[3]Target Data'!#REF!</definedName>
    <definedName name="_5__123Graph_ACHART_5" hidden="1">'[3]Target Data'!#REF!</definedName>
    <definedName name="_51__123Graph_DCHART_16" localSheetId="0" hidden="1">'[2]Shift Totals'!#REF!</definedName>
    <definedName name="_51__123Graph_DCHART_16" hidden="1">'[2]Shift Totals'!#REF!</definedName>
    <definedName name="_54__123Graph_ECHART_1" localSheetId="0" hidden="1">'[2]Shift Totals'!#REF!</definedName>
    <definedName name="_54__123Graph_ECHART_1" hidden="1">'[2]Shift Totals'!#REF!</definedName>
    <definedName name="_57__123Graph_LBL_ACHART_1" localSheetId="0" hidden="1">'[2]Shift Totals'!#REF!</definedName>
    <definedName name="_57__123Graph_LBL_ACHART_1" hidden="1">'[2]Shift Totals'!#REF!</definedName>
    <definedName name="_6__123Graph_ACHART_16" localSheetId="0" hidden="1">'[2]Shift Totals'!#REF!</definedName>
    <definedName name="_6__123Graph_ACHART_16" hidden="1">'[2]Shift Totals'!#REF!</definedName>
    <definedName name="_6__123Graph_ACHART_7" localSheetId="0" hidden="1">'[3]Target Data'!#REF!</definedName>
    <definedName name="_6__123Graph_ACHART_7" hidden="1">'[3]Target Data'!#REF!</definedName>
    <definedName name="_60__123Graph_LBL_ACHART_16" localSheetId="0" hidden="1">'[2]Shift Totals'!#REF!</definedName>
    <definedName name="_60__123Graph_LBL_ACHART_16" hidden="1">'[2]Shift Totals'!#REF!</definedName>
    <definedName name="_63__123Graph_LBL_ACHART_4" localSheetId="0" hidden="1">'[3]Target Data'!#REF!</definedName>
    <definedName name="_63__123Graph_LBL_ACHART_4" hidden="1">'[3]Target Data'!#REF!</definedName>
    <definedName name="_66__123Graph_LBL_ACHART_5" localSheetId="0" hidden="1">'[3]Target Data'!#REF!</definedName>
    <definedName name="_66__123Graph_LBL_ACHART_5" hidden="1">'[3]Target Data'!#REF!</definedName>
    <definedName name="_69__123Graph_LBL_BCHART_1" localSheetId="0" hidden="1">'[2]Shift Totals'!#REF!</definedName>
    <definedName name="_69__123Graph_LBL_BCHART_1" hidden="1">'[2]Shift Totals'!#REF!</definedName>
    <definedName name="_7__123Graph_ACHART_8" localSheetId="0" hidden="1">'[3]Target Data'!#REF!</definedName>
    <definedName name="_7__123Graph_ACHART_8" hidden="1">'[3]Target Data'!#REF!</definedName>
    <definedName name="_72__123Graph_LBL_BCHART_16" localSheetId="0" hidden="1">'[2]Shift Totals'!#REF!</definedName>
    <definedName name="_72__123Graph_LBL_BCHART_16" hidden="1">'[2]Shift Totals'!#REF!</definedName>
    <definedName name="_75__123Graph_LBL_BCHART_4" localSheetId="0" hidden="1">'[3]Target Data'!#REF!</definedName>
    <definedName name="_75__123Graph_LBL_BCHART_4" hidden="1">'[3]Target Data'!#REF!</definedName>
    <definedName name="_78__123Graph_LBL_BCHART_5" localSheetId="0" hidden="1">'[3]Target Data'!#REF!</definedName>
    <definedName name="_78__123Graph_LBL_BCHART_5" hidden="1">'[3]Target Data'!#REF!</definedName>
    <definedName name="_8__123Graph_BCHART_1" localSheetId="0" hidden="1">'[2]Shift Totals'!#REF!</definedName>
    <definedName name="_8__123Graph_BCHART_1" hidden="1">'[2]Shift Totals'!#REF!</definedName>
    <definedName name="_81__123Graph_LBL_CCHART_16" localSheetId="0" hidden="1">'[2]Shift Totals'!#REF!</definedName>
    <definedName name="_81__123Graph_LBL_CCHART_16" hidden="1">'[2]Shift Totals'!#REF!</definedName>
    <definedName name="_84__123Graph_LBL_DCHART_1" localSheetId="0" hidden="1">'[2]Shift Totals'!#REF!</definedName>
    <definedName name="_84__123Graph_LBL_DCHART_1" hidden="1">'[2]Shift Totals'!#REF!</definedName>
    <definedName name="_87__123Graph_LBL_DCHART_16" localSheetId="0" hidden="1">'[2]Shift Totals'!#REF!</definedName>
    <definedName name="_87__123Graph_LBL_DCHART_16" hidden="1">'[2]Shift Totals'!#REF!</definedName>
    <definedName name="_9__123Graph_ACHART_2" localSheetId="0" hidden="1">'[3]Target Data'!#REF!</definedName>
    <definedName name="_9__123Graph_ACHART_2" hidden="1">'[3]Target Data'!#REF!</definedName>
    <definedName name="_9__123Graph_BCHART_16" localSheetId="0" hidden="1">'[2]Shift Totals'!#REF!</definedName>
    <definedName name="_9__123Graph_BCHART_16" hidden="1">'[2]Shift Totals'!#REF!</definedName>
    <definedName name="_90__123Graph_XCHART_5" localSheetId="0" hidden="1">'[3]Target Data'!#REF!</definedName>
    <definedName name="_90__123Graph_XCHART_5" hidden="1">'[3]Target Data'!#REF!</definedName>
    <definedName name="_93__123Graph_XCHART_7" localSheetId="0" hidden="1">'[3]Target Data'!#REF!</definedName>
    <definedName name="_93__123Graph_XCHART_7" hidden="1">'[3]Target Data'!#REF!</definedName>
    <definedName name="_96__123Graph_XCHART_8" localSheetId="0" hidden="1">'[3]Target Data'!#REF!</definedName>
    <definedName name="_96__123Graph_XCHART_8" hidden="1">'[3]Target Data'!#REF!</definedName>
    <definedName name="_Fill" localSheetId="0" hidden="1">'[2] Raw Data'!#REF!</definedName>
    <definedName name="_Fill" hidden="1">'[2] Raw Data'!#REF!</definedName>
    <definedName name="_xlnm._FilterDatabase" localSheetId="0" hidden="1">'NBN_MWI &amp; Pipe Data'!$A$1:$AU$712</definedName>
    <definedName name="_JUN09" localSheetId="0" hidden="1">{#N/A,#N/A,FALSE,"RESULTS";#N/A,#N/A,FALSE,"FORECAST";#N/A,#N/A,FALSE,"ProvGraph";#N/A,#N/A,FALSE,"NEG PROV";#N/A,#N/A,FALSE,"PROVCOSTGRAPH";#N/A,#N/A,FALSE,"FittGraph";#N/A,#N/A,FALSE,"HireGraph"}</definedName>
    <definedName name="_JUN09" hidden="1">{#N/A,#N/A,FALSE,"RESULTS";#N/A,#N/A,FALSE,"FORECAST";#N/A,#N/A,FALSE,"ProvGraph";#N/A,#N/A,FALSE,"NEG PROV";#N/A,#N/A,FALSE,"PROVCOSTGRAPH";#N/A,#N/A,FALSE,"FittGraph";#N/A,#N/A,FALSE,"HireGraph"}</definedName>
    <definedName name="_Key1" hidden="1">'[1]Guarantee Sched'!$AA$163</definedName>
    <definedName name="_key2" localSheetId="0" hidden="1">'[4]D &amp; B'!#REF!</definedName>
    <definedName name="_key2" hidden="1">'[4]D &amp; B'!#REF!</definedName>
    <definedName name="_NSW1" localSheetId="0" hidden="1">{#N/A,#N/A,FALSE,"RESULTS";#N/A,#N/A,FALSE,"FORECAST";#N/A,#N/A,FALSE,"ProvGraph";#N/A,#N/A,FALSE,"FittGraph";#N/A,#N/A,FALSE,"NEG PROV";#N/A,#N/A,FALSE,"PROVCOSTGRAPH";#N/A,#N/A,FALSE,"HireGraph"}</definedName>
    <definedName name="_NSW1" hidden="1">{#N/A,#N/A,FALSE,"RESULTS";#N/A,#N/A,FALSE,"FORECAST";#N/A,#N/A,FALSE,"ProvGraph";#N/A,#N/A,FALSE,"FittGraph";#N/A,#N/A,FALSE,"NEG PROV";#N/A,#N/A,FALSE,"PROVCOSTGRAPH";#N/A,#N/A,FALSE,"HireGraph"}</definedName>
    <definedName name="_NSW1123123" localSheetId="0" hidden="1">{#N/A,#N/A,FALSE,"RESULTS";#N/A,#N/A,FALSE,"FORECAST";#N/A,#N/A,FALSE,"ProvGraph";#N/A,#N/A,FALSE,"FittGraph";#N/A,#N/A,FALSE,"NEG PROV";#N/A,#N/A,FALSE,"PROVCOSTGRAPH";#N/A,#N/A,FALSE,"HireGraph"}</definedName>
    <definedName name="_NSW1123123" hidden="1">{#N/A,#N/A,FALSE,"RESULTS";#N/A,#N/A,FALSE,"FORECAST";#N/A,#N/A,FALSE,"ProvGraph";#N/A,#N/A,FALSE,"FittGraph";#N/A,#N/A,FALSE,"NEG PROV";#N/A,#N/A,FALSE,"PROVCOSTGRAPH";#N/A,#N/A,FALSE,"HireGraph"}</definedName>
    <definedName name="_OH1" localSheetId="0" hidden="1">{#N/A,#N/A,FALSE,"RESULTS";#N/A,#N/A,FALSE,"FORECAST";#N/A,#N/A,FALSE,"ProvGraph";#N/A,#N/A,FALSE,"NEG PROV";#N/A,#N/A,FALSE,"PROVCOSTGRAPH";#N/A,#N/A,FALSE,"FittGraph";#N/A,#N/A,FALSE,"HireGraph"}</definedName>
    <definedName name="_OH1" hidden="1">{#N/A,#N/A,FALSE,"RESULTS";#N/A,#N/A,FALSE,"FORECAST";#N/A,#N/A,FALSE,"ProvGraph";#N/A,#N/A,FALSE,"NEG PROV";#N/A,#N/A,FALSE,"PROVCOSTGRAPH";#N/A,#N/A,FALSE,"FittGraph";#N/A,#N/A,FALSE,"HireGraph"}</definedName>
    <definedName name="_OHO1" localSheetId="0" hidden="1">{#N/A,#N/A,FALSE,"RESULTS";#N/A,#N/A,FALSE,"FORECAST";#N/A,#N/A,FALSE,"ProvGraph";#N/A,#N/A,FALSE,"FittGraph";#N/A,#N/A,FALSE,"NEG PROV";#N/A,#N/A,FALSE,"PROVCOSTGRAPH";#N/A,#N/A,FALSE,"HireGraph"}</definedName>
    <definedName name="_OHO1" hidden="1">{#N/A,#N/A,FALSE,"RESULTS";#N/A,#N/A,FALSE,"FORECAST";#N/A,#N/A,FALSE,"ProvGraph";#N/A,#N/A,FALSE,"FittGraph";#N/A,#N/A,FALSE,"NEG PROV";#N/A,#N/A,FALSE,"PROVCOSTGRAPH";#N/A,#N/A,FALSE,"HireGraph"}</definedName>
    <definedName name="_OHO2" localSheetId="0" hidden="1">{#N/A,#N/A,FALSE,"RESULTS";#N/A,#N/A,FALSE,"FORECAST";#N/A,#N/A,FALSE,"ProvGraph";#N/A,#N/A,FALSE,"NEG PROV";#N/A,#N/A,FALSE,"PROVCOSTGRAPH";#N/A,#N/A,FALSE,"FittGraph";#N/A,#N/A,FALSE,"HireGraph"}</definedName>
    <definedName name="_OHO2" hidden="1">{#N/A,#N/A,FALSE,"RESULTS";#N/A,#N/A,FALSE,"FORECAST";#N/A,#N/A,FALSE,"ProvGraph";#N/A,#N/A,FALSE,"NEG PROV";#N/A,#N/A,FALSE,"PROVCOSTGRAPH";#N/A,#N/A,FALSE,"FittGraph";#N/A,#N/A,FALSE,"HireGraph"}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_Table1_In1" localSheetId="0" hidden="1">#REF!</definedName>
    <definedName name="_Table1_In1" hidden="1">#REF!</definedName>
    <definedName name="_Table1_Out" localSheetId="0" hidden="1">#REF!</definedName>
    <definedName name="_Table1_Out" hidden="1">#REF!</definedName>
    <definedName name="_VAL036601" localSheetId="0">'[6]DTSJV - Jan 13'!#REF!</definedName>
    <definedName name="_VAL036601">'[6]DTSJV - Jan 13'!#REF!</definedName>
    <definedName name="_VAL036876" localSheetId="0">'[6]DTSJV - Jan 13'!#REF!</definedName>
    <definedName name="_VAL036876">'[6]DTSJV - Jan 13'!#REF!</definedName>
    <definedName name="a" hidden="1">'[7]Guarantee Sched'!$AE$11:$AE$45</definedName>
    <definedName name="aa" localSheetId="0" hidden="1">{#N/A,#N/A,FALSE,"RESULTS";#N/A,#N/A,FALSE,"FORECAST";#N/A,#N/A,FALSE,"ProvGraph";#N/A,#N/A,FALSE,"NEG PROV";#N/A,#N/A,FALSE,"PROVCOSTGRAPH";#N/A,#N/A,FALSE,"FittGraph";#N/A,#N/A,FALSE,"HireGraph"}</definedName>
    <definedName name="aa" hidden="1">{#N/A,#N/A,FALSE,"RESULTS";#N/A,#N/A,FALSE,"FORECAST";#N/A,#N/A,FALSE,"ProvGraph";#N/A,#N/A,FALSE,"NEG PROV";#N/A,#N/A,FALSE,"PROVCOSTGRAPH";#N/A,#N/A,FALSE,"FittGraph";#N/A,#N/A,FALSE,"HireGraph"}</definedName>
    <definedName name="abc" localSheetId="0" hidden="1">{#N/A,#N/A,FALSE,"RESULTS";#N/A,#N/A,FALSE,"FORECAST";#N/A,#N/A,FALSE,"ProvGraph";#N/A,#N/A,FALSE,"FittGraph";#N/A,#N/A,FALSE,"NEG PROV";#N/A,#N/A,FALSE,"PROVCOSTGRAPH";#N/A,#N/A,FALSE,"HireGraph"}</definedName>
    <definedName name="abc" hidden="1">{#N/A,#N/A,FALSE,"RESULTS";#N/A,#N/A,FALSE,"FORECAST";#N/A,#N/A,FALSE,"ProvGraph";#N/A,#N/A,FALSE,"FittGraph";#N/A,#N/A,FALSE,"NEG PROV";#N/A,#N/A,FALSE,"PROVCOSTGRAPH";#N/A,#N/A,FALSE,"HireGraph"}</definedName>
    <definedName name="ACCGRPH2" localSheetId="0" hidden="1">{#N/A,#N/A,FALSE,"RESULTS";#N/A,#N/A,FALSE,"FORECAST";#N/A,#N/A,FALSE,"ProvGraph";#N/A,#N/A,FALSE,"FittGraph";#N/A,#N/A,FALSE,"NEG PROV";#N/A,#N/A,FALSE,"PROVCOSTGRAPH";#N/A,#N/A,FALSE,"HireGraph"}</definedName>
    <definedName name="ACCGRPH2" hidden="1">{#N/A,#N/A,FALSE,"RESULTS";#N/A,#N/A,FALSE,"FORECAST";#N/A,#N/A,FALSE,"ProvGraph";#N/A,#N/A,FALSE,"FittGraph";#N/A,#N/A,FALSE,"NEG PROV";#N/A,#N/A,FALSE,"PROVCOSTGRAPH";#N/A,#N/A,FALSE,"HireGraph"}</definedName>
    <definedName name="Actuals">'[8]Import JDE Actuals'!$A$1:$C$403</definedName>
    <definedName name="ad" localSheetId="0" hidden="1">{#N/A,#N/A,FALSE,"RESULTS";#N/A,#N/A,FALSE,"FORECAST";#N/A,#N/A,FALSE,"ProvGraph";#N/A,#N/A,FALSE,"NEG PROV";#N/A,#N/A,FALSE,"PROVCOSTGRAPH";#N/A,#N/A,FALSE,"FittGraph";#N/A,#N/A,FALSE,"HireGraph"}</definedName>
    <definedName name="ad" hidden="1">{#N/A,#N/A,FALSE,"RESULTS";#N/A,#N/A,FALSE,"FORECAST";#N/A,#N/A,FALSE,"ProvGraph";#N/A,#N/A,FALSE,"NEG PROV";#N/A,#N/A,FALSE,"PROVCOSTGRAPH";#N/A,#N/A,FALSE,"FittGraph";#N/A,#N/A,FALSE,"HireGraph"}</definedName>
    <definedName name="AerialMultiport">[9]Front_Cover!$F$38</definedName>
    <definedName name="Allwaste" localSheetId="0">#REF!</definedName>
    <definedName name="Allwaste">#REF!</definedName>
    <definedName name="AllwasteTotal" localSheetId="0">#REF!</definedName>
    <definedName name="AllwasteTotal">#REF!</definedName>
    <definedName name="anscount" hidden="1">1</definedName>
    <definedName name="b" hidden="1">'[1]Guarantee Sched'!$AF$11:$AF$45</definedName>
    <definedName name="BandAPivot">'[10]Bgt and Act Pivot'!$A$3</definedName>
    <definedName name="bbv" localSheetId="0" hidden="1">{"gyprint",#N/A,FALSE,"Goonyella";"rvprint",#N/A,FALSE,"Riverside"}</definedName>
    <definedName name="bbv" hidden="1">{"gyprint",#N/A,FALSE,"Goonyella";"rvprint",#N/A,FALSE,"Riverside"}</definedName>
    <definedName name="bline" localSheetId="0">#REF!</definedName>
    <definedName name="bline">#REF!</definedName>
    <definedName name="CATS.Project" hidden="1">"N3001U"</definedName>
    <definedName name="CLAIMDATA" localSheetId="0">#REF!</definedName>
    <definedName name="CLAIMDATA">#REF!</definedName>
    <definedName name="ClaimReport" localSheetId="0">#REF!</definedName>
    <definedName name="ClaimReport">#REF!</definedName>
    <definedName name="CLAIMS" localSheetId="0">#REF!</definedName>
    <definedName name="CLAIMS">#REF!</definedName>
    <definedName name="cline" localSheetId="0">#REF!</definedName>
    <definedName name="cline">#REF!</definedName>
    <definedName name="cock" localSheetId="0" hidden="1">{"gyprint",#N/A,FALSE,"Goonyella";"rvprint",#N/A,FALSE,"Riverside"}</definedName>
    <definedName name="cock" hidden="1">{"gyprint",#N/A,FALSE,"Goonyella";"rvprint",#N/A,FALSE,"Riverside"}</definedName>
    <definedName name="cock1" localSheetId="0" hidden="1">{"gyprint",#N/A,FALSE,"Goonyella";"rvprint",#N/A,FALSE,"Riverside"}</definedName>
    <definedName name="cock1" hidden="1">{"gyprint",#N/A,FALSE,"Goonyella";"rvprint",#N/A,FALSE,"Riverside"}</definedName>
    <definedName name="cock2" localSheetId="0" hidden="1">{"gyprint",#N/A,FALSE,"Goonyella";"rvprint",#N/A,FALSE,"Riverside"}</definedName>
    <definedName name="cock2" hidden="1">{"gyprint",#N/A,FALSE,"Goonyella";"rvprint",#N/A,FALSE,"Riverside"}</definedName>
    <definedName name="cock3" localSheetId="0" hidden="1">{"gyprint",#N/A,FALSE,"Goonyella";"rvprint",#N/A,FALSE,"Riverside"}</definedName>
    <definedName name="cock3" hidden="1">{"gyprint",#N/A,FALSE,"Goonyella";"rvprint",#N/A,FALSE,"Riverside"}</definedName>
    <definedName name="Communications" localSheetId="0">#REF!</definedName>
    <definedName name="Communications">#REF!</definedName>
    <definedName name="ConstructionEV">'[10]Construction EV'!$A$1:$C$191</definedName>
    <definedName name="CostClear" localSheetId="0">#REF!</definedName>
    <definedName name="CostClear">#REF!</definedName>
    <definedName name="CostRev" localSheetId="0">#REF!</definedName>
    <definedName name="CostRev">#REF!</definedName>
    <definedName name="CostRevData" localSheetId="0">#REF!</definedName>
    <definedName name="CostRevData">#REF!</definedName>
    <definedName name="d" hidden="1">'[7]Guarantee Sched'!$AG$11:$AG$45</definedName>
    <definedName name="da" localSheetId="0" hidden="1">{#N/A,#N/A,FALSE,"RESULTS";#N/A,#N/A,FALSE,"FORECAST";#N/A,#N/A,FALSE,"ProvGraph";#N/A,#N/A,FALSE,"FittGraph";#N/A,#N/A,FALSE,"NEG PROV";#N/A,#N/A,FALSE,"PROVCOSTGRAPH";#N/A,#N/A,FALSE,"HireGraph"}</definedName>
    <definedName name="da" hidden="1">{#N/A,#N/A,FALSE,"RESULTS";#N/A,#N/A,FALSE,"FORECAST";#N/A,#N/A,FALSE,"ProvGraph";#N/A,#N/A,FALSE,"FittGraph";#N/A,#N/A,FALSE,"NEG PROV";#N/A,#N/A,FALSE,"PROVCOSTGRAPH";#N/A,#N/A,FALSE,"HireGraph"}</definedName>
    <definedName name="_xlnm.Database" localSheetId="0">#REF!</definedName>
    <definedName name="_xlnm.Database">#REF!</definedName>
    <definedName name="Date">[11]Macros!$B$1</definedName>
    <definedName name="ddd" localSheetId="0" hidden="1">{"gyprint",#N/A,FALSE,"Goonyella";"rvprint",#N/A,FALSE,"Riverside"}</definedName>
    <definedName name="ddd" hidden="1">{"gyprint",#N/A,FALSE,"Goonyella";"rvprint",#N/A,FALSE,"Riverside"}</definedName>
    <definedName name="DesignEV">'[10]Design EV'!$A$1:$C$224</definedName>
    <definedName name="Download1" localSheetId="0">#REF!</definedName>
    <definedName name="Download1">#REF!</definedName>
    <definedName name="Download2" localSheetId="0">#REF!</definedName>
    <definedName name="Download2">#REF!</definedName>
    <definedName name="e" hidden="1">'[7]Guarantee Sched'!$AH$11:$AH$45</definedName>
    <definedName name="Elements">'[12]Staff Summary'!$B$5:$B$14</definedName>
    <definedName name="EVData">'[8]EV Import'!$B$3:$K$305</definedName>
    <definedName name="f" hidden="1">'[7]Guarantee Sched'!$AI$11:$AI$45</definedName>
    <definedName name="FcastThisYear" localSheetId="0">#REF!</definedName>
    <definedName name="FcastThisYear">#REF!</definedName>
    <definedName name="FcastThisYearLM" localSheetId="0">#REF!</definedName>
    <definedName name="FcastThisYearLM">#REF!</definedName>
    <definedName name="ff" localSheetId="0" hidden="1">{"gyprint",#N/A,FALSE,"Goonyella";"rvprint",#N/A,FALSE,"Riverside"}</definedName>
    <definedName name="ff" hidden="1">{"gyprint",#N/A,FALSE,"Goonyella";"rvprint",#N/A,FALSE,"Riverside"}</definedName>
    <definedName name="fff" localSheetId="0" hidden="1">{"gyprint",#N/A,FALSE,"Goonyella";"rvprint",#N/A,FALSE,"Riverside"}</definedName>
    <definedName name="fff" hidden="1">{"gyprint",#N/A,FALSE,"Goonyella";"rvprint",#N/A,FALSE,"Riverside"}</definedName>
    <definedName name="ffff" localSheetId="0" hidden="1">{"gyprint",#N/A,FALSE,"Goonyella";"rvprint",#N/A,FALSE,"Riverside"}</definedName>
    <definedName name="ffff" hidden="1">{"gyprint",#N/A,FALSE,"Goonyella";"rvprint",#N/A,FALSE,"Riverside"}</definedName>
    <definedName name="fffff" localSheetId="0" hidden="1">{"gyprint",#N/A,FALSE,"Goonyella";"rvprint",#N/A,FALSE,"Riverside"}</definedName>
    <definedName name="fffff" hidden="1">{"gyprint",#N/A,FALSE,"Goonyella";"rvprint",#N/A,FALSE,"Riverside"}</definedName>
    <definedName name="fffffff" localSheetId="0" hidden="1">{"gyprint",#N/A,FALSE,"Goonyella";"rvprint",#N/A,FALSE,"Riverside"}</definedName>
    <definedName name="fffffff" hidden="1">{"gyprint",#N/A,FALSE,"Goonyella";"rvprint",#N/A,FALSE,"Riverside"}</definedName>
    <definedName name="ffffffff" localSheetId="0" hidden="1">{"gyprint",#N/A,FALSE,"Goonyella";"rvprint",#N/A,FALSE,"Riverside"}</definedName>
    <definedName name="ffffffff" hidden="1">{"gyprint",#N/A,FALSE,"Goonyella";"rvprint",#N/A,FALSE,"Riverside"}</definedName>
    <definedName name="fgg" localSheetId="0" hidden="1">{"gyprint",#N/A,FALSE,"Goonyella";"rvprint",#N/A,FALSE,"Riverside"}</definedName>
    <definedName name="fgg" hidden="1">{"gyprint",#N/A,FALSE,"Goonyella";"rvprint",#N/A,FALSE,"Riverside"}</definedName>
    <definedName name="FlexDecData">'[11]Flex-Dec'!$B$10:$BA$211</definedName>
    <definedName name="FlexiRef" localSheetId="0">[11]Macros!#REF!</definedName>
    <definedName name="FlexiRef">[11]Macros!#REF!</definedName>
    <definedName name="FlexiSheets" localSheetId="0">[11]Macros!#REF!</definedName>
    <definedName name="FlexiSheets">[11]Macros!#REF!</definedName>
    <definedName name="FSAMDiary">'[8]Import Priced FSAM Diary'!$A$1:$E$120</definedName>
    <definedName name="FSAMDiaryQtyPivot">'[10]Import FSAM Diary Quants'!$A$3</definedName>
    <definedName name="g" hidden="1">'[7]Guarantee Sched'!$AJ$11:$AJ$45</definedName>
    <definedName name="GarrettsNorth" localSheetId="0">#REF!</definedName>
    <definedName name="GarrettsNorth">#REF!</definedName>
    <definedName name="GarrettsSouth" localSheetId="0">#REF!</definedName>
    <definedName name="GarrettsSouth">#REF!</definedName>
    <definedName name="ggggggggg" localSheetId="0" hidden="1">{"gyprint",#N/A,FALSE,"Goonyella";"rvprint",#N/A,FALSE,"Riverside"}</definedName>
    <definedName name="ggggggggg" hidden="1">{"gyprint",#N/A,FALSE,"Goonyella";"rvprint",#N/A,FALSE,"Riverside"}</definedName>
    <definedName name="gggggggggggggg" localSheetId="0" hidden="1">{"gyprint",#N/A,FALSE,"Goonyella";"rvprint",#N/A,FALSE,"Riverside"}</definedName>
    <definedName name="gggggggggggggg" hidden="1">{"gyprint",#N/A,FALSE,"Goonyella";"rvprint",#N/A,FALSE,"Riverside"}</definedName>
    <definedName name="h" hidden="1">'[7]Guarantee Sched'!$AD$11:$AD$46</definedName>
    <definedName name="Haul_Type">[9]Front_Cover!$S$3:$S$4</definedName>
    <definedName name="hhh" localSheetId="0" hidden="1">{"gyprint",#N/A,FALSE,"Goonyella";"rvprint",#N/A,FALSE,"Riverside"}</definedName>
    <definedName name="hhh" hidden="1">{"gyprint",#N/A,FALSE,"Goonyella";"rvprint",#N/A,FALSE,"Riverside"}</definedName>
    <definedName name="hhhhh" localSheetId="0" hidden="1">{"gyprint",#N/A,FALSE,"Goonyella";"rvprint",#N/A,FALSE,"Riverside"}</definedName>
    <definedName name="hhhhh" hidden="1">{"gyprint",#N/A,FALSE,"Goonyella";"rvprint",#N/A,FALSE,"Riverside"}</definedName>
    <definedName name="hhhhhhhhh" localSheetId="0" hidden="1">{"gyprint",#N/A,FALSE,"Goonyella";"rvprint",#N/A,FALSE,"Riverside"}</definedName>
    <definedName name="hhhhhhhhh" hidden="1">{"gyprint",#N/A,FALSE,"Goonyella";"rvprint",#N/A,FALSE,"Riverside"}</definedName>
    <definedName name="Hydro" localSheetId="0">#REF!</definedName>
    <definedName name="Hydro">#REF!</definedName>
    <definedName name="i" hidden="1">'[7]Guarantee Sched'!$AA$163</definedName>
    <definedName name="j" hidden="1">'[7]Guarantee Sched'!$AA$163:$AP$180</definedName>
    <definedName name="JDEDataDate">[8]Instructions!$F$4</definedName>
    <definedName name="jj" localSheetId="0" hidden="1">{"gyprint",#N/A,FALSE,"Goonyella";"rvprint",#N/A,FALSE,"Riverside"}</definedName>
    <definedName name="jj" hidden="1">{"gyprint",#N/A,FALSE,"Goonyella";"rvprint",#N/A,FALSE,"Riverside"}</definedName>
    <definedName name="jjj" localSheetId="0" hidden="1">{"gyprint",#N/A,FALSE,"Goonyella";"rvprint",#N/A,FALSE,"Riverside"}</definedName>
    <definedName name="jjj" hidden="1">{"gyprint",#N/A,FALSE,"Goonyella";"rvprint",#N/A,FALSE,"Riverside"}</definedName>
    <definedName name="jjy" localSheetId="0" hidden="1">{"gyprint",#N/A,FALSE,"Goonyella";"rvprint",#N/A,FALSE,"Riverside"}</definedName>
    <definedName name="jjy" hidden="1">{"gyprint",#N/A,FALSE,"Goonyella";"rvprint",#N/A,FALSE,"Riverside"}</definedName>
    <definedName name="k" localSheetId="0" hidden="1">{#N/A,#N/A,FALSE,"RESULTS";#N/A,#N/A,FALSE,"FORECAST";#N/A,#N/A,FALSE,"ProvGraph";#N/A,#N/A,FALSE,"FittGraph";#N/A,#N/A,FALSE,"NEG PROV";#N/A,#N/A,FALSE,"PROVCOSTGRAPH";#N/A,#N/A,FALSE,"HireGraph"}</definedName>
    <definedName name="k" hidden="1">{#N/A,#N/A,FALSE,"RESULTS";#N/A,#N/A,FALSE,"FORECAST";#N/A,#N/A,FALSE,"ProvGraph";#N/A,#N/A,FALSE,"FittGraph";#N/A,#N/A,FALSE,"NEG PROV";#N/A,#N/A,FALSE,"PROVCOSTGRAPH";#N/A,#N/A,FALSE,"HireGraph"}</definedName>
    <definedName name="kk" localSheetId="0" hidden="1">{"gyprint",#N/A,FALSE,"Goonyella";"rvprint",#N/A,FALSE,"Riverside"}</definedName>
    <definedName name="kk" hidden="1">{"gyprint",#N/A,FALSE,"Goonyella";"rvprint",#N/A,FALSE,"Riverside"}</definedName>
    <definedName name="kkk" localSheetId="0" hidden="1">{"gyprint",#N/A,FALSE,"Goonyella";"rvprint",#N/A,FALSE,"Riverside"}</definedName>
    <definedName name="kkk" hidden="1">{"gyprint",#N/A,FALSE,"Goonyella";"rvprint",#N/A,FALSE,"Riverside"}</definedName>
    <definedName name="LastMonthPivot">'[13]Refresh Last Month Pivot'!$A$3</definedName>
    <definedName name="lineBudget" localSheetId="0">#REF!</definedName>
    <definedName name="lineBudget">#REF!</definedName>
    <definedName name="LOCATION_DESCRIPTION" localSheetId="0">#REF!</definedName>
    <definedName name="LOCATION_DESCRIPTION">#REF!</definedName>
    <definedName name="LOCATION_TABLE_LIST">[14]InputTables!$C$7:$D$12</definedName>
    <definedName name="MONTH" localSheetId="0">#REF!</definedName>
    <definedName name="MONTH">#REF!</definedName>
    <definedName name="MonthActual" localSheetId="0">#REF!</definedName>
    <definedName name="MonthActual">#REF!</definedName>
    <definedName name="MonthFlexRef" localSheetId="0">[11]Macros!#REF!</definedName>
    <definedName name="MonthFlexRef">[11]Macros!#REF!</definedName>
    <definedName name="MonthPrevious" localSheetId="0">#REF!</definedName>
    <definedName name="MonthPrevious">#REF!</definedName>
    <definedName name="MtceSJ" localSheetId="0">#REF!</definedName>
    <definedName name="MtceSJ">#REF!</definedName>
    <definedName name="Multinet" localSheetId="0">#REF!</definedName>
    <definedName name="Multinet">#REF!</definedName>
    <definedName name="MW" localSheetId="0">#REF!</definedName>
    <definedName name="MW">#REF!</definedName>
    <definedName name="NonWorkDays">[15]Calendar!$C$2:$C$24</definedName>
    <definedName name="NSW" localSheetId="0" hidden="1">{#N/A,#N/A,FALSE,"RESULTS";#N/A,#N/A,FALSE,"FORECAST";#N/A,#N/A,FALSE,"ProvGraph";#N/A,#N/A,FALSE,"FittGraph";#N/A,#N/A,FALSE,"NEG PROV";#N/A,#N/A,FALSE,"PROVCOSTGRAPH";#N/A,#N/A,FALSE,"HireGraph"}</definedName>
    <definedName name="NSW" hidden="1">{#N/A,#N/A,FALSE,"RESULTS";#N/A,#N/A,FALSE,"FORECAST";#N/A,#N/A,FALSE,"ProvGraph";#N/A,#N/A,FALSE,"FittGraph";#N/A,#N/A,FALSE,"NEG PROV";#N/A,#N/A,FALSE,"PROVCOSTGRAPH";#N/A,#N/A,FALSE,"HireGraph"}</definedName>
    <definedName name="NTONCOST" localSheetId="0">'[16]Oncost Rates'!#REF!</definedName>
    <definedName name="NTONCOST">'[16]Oncost Rates'!#REF!</definedName>
    <definedName name="numbering">'[17]2.1 Regional Priorities'!$E$45:$E$61</definedName>
    <definedName name="NZONCOST" localSheetId="0">'[16]Oncost Rates'!#REF!</definedName>
    <definedName name="NZONCOST">'[16]Oncost Rates'!#REF!</definedName>
    <definedName name="oline" localSheetId="0">#REF!</definedName>
    <definedName name="oline">#REF!</definedName>
    <definedName name="oooooooooooooooo" localSheetId="0" hidden="1">{#N/A,#N/A,FALSE,"RESULTS";#N/A,#N/A,FALSE,"FORECAST";#N/A,#N/A,FALSE,"ProvGraph";#N/A,#N/A,FALSE,"FittGraph";#N/A,#N/A,FALSE,"NEG PROV";#N/A,#N/A,FALSE,"PROVCOSTGRAPH";#N/A,#N/A,FALSE,"HireGraph"}</definedName>
    <definedName name="oooooooooooooooo" hidden="1">{#N/A,#N/A,FALSE,"RESULTS";#N/A,#N/A,FALSE,"FORECAST";#N/A,#N/A,FALSE,"ProvGraph";#N/A,#N/A,FALSE,"FittGraph";#N/A,#N/A,FALSE,"NEG PROV";#N/A,#N/A,FALSE,"PROVCOSTGRAPH";#N/A,#N/A,FALSE,"HireGraph"}</definedName>
    <definedName name="PayTerms">'[18]Payment Term Definitions'!$C$2:$F$7</definedName>
    <definedName name="PLAY" localSheetId="0" hidden="1">{#N/A,#N/A,FALSE,"RESULTS";#N/A,#N/A,FALSE,"FORECAST";#N/A,#N/A,FALSE,"ProvGraph";#N/A,#N/A,FALSE,"NEG PROV";#N/A,#N/A,FALSE,"PROVCOSTGRAPH";#N/A,#N/A,FALSE,"FittGraph";#N/A,#N/A,FALSE,"HireGraph"}</definedName>
    <definedName name="PLAY" hidden="1">{#N/A,#N/A,FALSE,"RESULTS";#N/A,#N/A,FALSE,"FORECAST";#N/A,#N/A,FALSE,"ProvGraph";#N/A,#N/A,FALSE,"NEG PROV";#N/A,#N/A,FALSE,"PROVCOSTGRAPH";#N/A,#N/A,FALSE,"FittGraph";#N/A,#N/A,FALSE,"HireGraph"}</definedName>
    <definedName name="play1" localSheetId="0" hidden="1">{#N/A,#N/A,FALSE,"RESULTS";#N/A,#N/A,FALSE,"FORECAST";#N/A,#N/A,FALSE,"ProvGraph";#N/A,#N/A,FALSE,"NEG PROV";#N/A,#N/A,FALSE,"PROVCOSTGRAPH";#N/A,#N/A,FALSE,"FittGraph";#N/A,#N/A,FALSE,"HireGraph"}</definedName>
    <definedName name="play1" hidden="1">{#N/A,#N/A,FALSE,"RESULTS";#N/A,#N/A,FALSE,"FORECAST";#N/A,#N/A,FALSE,"ProvGraph";#N/A,#N/A,FALSE,"NEG PROV";#N/A,#N/A,FALSE,"PROVCOSTGRAPH";#N/A,#N/A,FALSE,"FittGraph";#N/A,#N/A,FALSE,"HireGraph"}</definedName>
    <definedName name="POLGRPH" localSheetId="0" hidden="1">{#N/A,#N/A,FALSE,"RESULTS";#N/A,#N/A,FALSE,"FORECAST";#N/A,#N/A,FALSE,"ProvGraph";#N/A,#N/A,FALSE,"FittGraph";#N/A,#N/A,FALSE,"NEG PROV";#N/A,#N/A,FALSE,"PROVCOSTGRAPH";#N/A,#N/A,FALSE,"HireGraph"}</definedName>
    <definedName name="POLGRPH" hidden="1">{#N/A,#N/A,FALSE,"RESULTS";#N/A,#N/A,FALSE,"FORECAST";#N/A,#N/A,FALSE,"ProvGraph";#N/A,#N/A,FALSE,"FittGraph";#N/A,#N/A,FALSE,"NEG PROV";#N/A,#N/A,FALSE,"PROVCOSTGRAPH";#N/A,#N/A,FALSE,"HireGraph"}</definedName>
    <definedName name="pp">'[5]PC &amp; Payment Dates New Devs'!#REF!</definedName>
    <definedName name="ProjectInfo">'[19]Project Info'!$B$1:$J$251</definedName>
    <definedName name="QLDONCOST">'[16]Oncost Rates'!$E$39</definedName>
    <definedName name="Remediation" localSheetId="0">#REF!</definedName>
    <definedName name="Remediation">#REF!</definedName>
    <definedName name="RevClear" localSheetId="0">#REF!</definedName>
    <definedName name="RevClear">#REF!</definedName>
    <definedName name="RevVar" localSheetId="0" hidden="1">{#N/A,#N/A,FALSE,"RESULTS";#N/A,#N/A,FALSE,"FORECAST";#N/A,#N/A,FALSE,"ProvGraph";#N/A,#N/A,FALSE,"NEG PROV";#N/A,#N/A,FALSE,"PROVCOSTGRAPH";#N/A,#N/A,FALSE,"FittGraph";#N/A,#N/A,FALSE,"HireGraph"}</definedName>
    <definedName name="RevVar" hidden="1">{#N/A,#N/A,FALSE,"RESULTS";#N/A,#N/A,FALSE,"FORECAST";#N/A,#N/A,FALSE,"ProvGraph";#N/A,#N/A,FALSE,"NEG PROV";#N/A,#N/A,FALSE,"PROVCOSTGRAPH";#N/A,#N/A,FALSE,"FittGraph";#N/A,#N/A,FALSE,"HireGraph"}</definedName>
    <definedName name="RMISCodeDesc">'[10]Variance &amp; Risk Codes'!$F$2:$H$56</definedName>
    <definedName name="RunNo">[11]Macros!$B$5</definedName>
    <definedName name="SalesImport">'[8]Import JDE Budget'!$A$1:$E$333</definedName>
    <definedName name="SEWL" localSheetId="0">#REF!</definedName>
    <definedName name="SEWL">#REF!</definedName>
    <definedName name="SEWONCOST" localSheetId="0">'[16]Oncost Rates'!#REF!</definedName>
    <definedName name="SEWONCOST">'[16]Oncost Rates'!#REF!</definedName>
    <definedName name="snapper" localSheetId="0" hidden="1">{"gyprint",#N/A,FALSE,"Goonyella";"rvprint",#N/A,FALSE,"Riverside"}</definedName>
    <definedName name="snapper" hidden="1">{"gyprint",#N/A,FALSE,"Goonyella";"rvprint",#N/A,FALSE,"Riverside"}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um" hidden="1">0</definedName>
    <definedName name="solver_nwt" hidden="1">1</definedName>
    <definedName name="solver_pre" hidden="1">0.000001</definedName>
    <definedName name="solver_scl" hidden="1">0</definedName>
    <definedName name="solver_sho" hidden="1">0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STARTCASH" localSheetId="0">#REF!</definedName>
    <definedName name="STARTCASH">#REF!</definedName>
    <definedName name="StartClaim" localSheetId="0">#REF!</definedName>
    <definedName name="StartClaim">#REF!</definedName>
    <definedName name="StartCost" localSheetId="0">#REF!</definedName>
    <definedName name="StartCost">#REF!</definedName>
    <definedName name="StartCostRev" localSheetId="0">#REF!</definedName>
    <definedName name="StartCostRev">#REF!</definedName>
    <definedName name="StartRev" localSheetId="0">#REF!</definedName>
    <definedName name="StartRev">#REF!</definedName>
    <definedName name="Table19" localSheetId="0">'[20]SUMMARY - FSA'!#REF!</definedName>
    <definedName name="Table19">'[20]SUMMARY - FSA'!#REF!</definedName>
    <definedName name="Table20" localSheetId="0">'[20]SUMMARY - FSA'!#REF!</definedName>
    <definedName name="Table20">'[20]SUMMARY - FSA'!#REF!</definedName>
    <definedName name="Table30" localSheetId="0">'[20]SUMMARY - FSA'!#REF!</definedName>
    <definedName name="Table30">'[20]SUMMARY - FSA'!#REF!</definedName>
    <definedName name="Table40" localSheetId="0">#REF!</definedName>
    <definedName name="Table40">#REF!</definedName>
    <definedName name="Table50" localSheetId="0">#REF!</definedName>
    <definedName name="Table50">#REF!</definedName>
    <definedName name="Table60" localSheetId="0">#REF!</definedName>
    <definedName name="Table60">#REF!</definedName>
    <definedName name="Table70" localSheetId="0">#REF!</definedName>
    <definedName name="Table70">#REF!</definedName>
    <definedName name="Table80" localSheetId="0">#REF!</definedName>
    <definedName name="Table80">#REF!</definedName>
    <definedName name="Table90" localSheetId="0">#REF!</definedName>
    <definedName name="Table90">#REF!</definedName>
    <definedName name="TAllwaste" localSheetId="0">#REF!</definedName>
    <definedName name="TAllwaste">#REF!</definedName>
    <definedName name="TASONCOST" localSheetId="0">'[16]Oncost Rates'!#REF!</definedName>
    <definedName name="TASONCOST">'[16]Oncost Rates'!#REF!</definedName>
    <definedName name="TCommunications" localSheetId="0">#REF!</definedName>
    <definedName name="TCommunications">#REF!</definedName>
    <definedName name="testing" localSheetId="0">'[6]DTSJV - Jan 13'!#REF!</definedName>
    <definedName name="testing">'[6]DTSJV - Jan 13'!#REF!</definedName>
    <definedName name="TGarrettsNorth" localSheetId="0">#REF!</definedName>
    <definedName name="TGarrettsNorth">#REF!</definedName>
    <definedName name="TGarrettsSouth" localSheetId="0">#REF!</definedName>
    <definedName name="TGarrettsSouth">#REF!</definedName>
    <definedName name="THydro" localSheetId="0">#REF!</definedName>
    <definedName name="THydro">#REF!</definedName>
    <definedName name="TimeProPivot">[13]TimeProData!$A$2</definedName>
    <definedName name="TMtceSJ" localSheetId="0">#REF!</definedName>
    <definedName name="TMtceSJ">#REF!</definedName>
    <definedName name="TMultinet" localSheetId="0">#REF!</definedName>
    <definedName name="TMultinet">#REF!</definedName>
    <definedName name="TMW" localSheetId="0">#REF!</definedName>
    <definedName name="TMW">#REF!</definedName>
    <definedName name="TotalJobCurrMth" localSheetId="0">#REF!</definedName>
    <definedName name="TotalJobCurrMth">#REF!</definedName>
    <definedName name="TotalJobLastMth" localSheetId="0">#REF!</definedName>
    <definedName name="TotalJobLastMth">#REF!</definedName>
    <definedName name="TrCatInsert" localSheetId="0">'[11]Validation Tables'!#REF!</definedName>
    <definedName name="TrCatInsert">'[11]Validation Tables'!#REF!</definedName>
    <definedName name="TRemediation" localSheetId="0">#REF!</definedName>
    <definedName name="TRemediation">#REF!</definedName>
    <definedName name="TrSumCat">'[11]Validation Tables'!$E$11</definedName>
    <definedName name="TrSumNewLine" localSheetId="0">[11]Macros!#REF!</definedName>
    <definedName name="TrSumNewLine">[11]Macros!#REF!</definedName>
    <definedName name="TrSumType">'[11]Validation Tables'!$B$11:$D$24</definedName>
    <definedName name="TSEWL" localSheetId="0">#REF!</definedName>
    <definedName name="TSEWL">#REF!</definedName>
    <definedName name="tsum" localSheetId="0">#REF!</definedName>
    <definedName name="tsum">#REF!</definedName>
    <definedName name="tt" localSheetId="0">#REF!</definedName>
    <definedName name="tt">#REF!</definedName>
    <definedName name="ttttttt" localSheetId="0" hidden="1">{"gyprint",#N/A,FALSE,"Goonyella";"rvprint",#N/A,FALSE,"Riverside"}</definedName>
    <definedName name="ttttttt" hidden="1">{"gyprint",#N/A,FALSE,"Goonyella";"rvprint",#N/A,FALSE,"Riverside"}</definedName>
    <definedName name="ttttttttttttt" localSheetId="0" hidden="1">{"gyprint",#N/A,FALSE,"Goonyella";"rvprint",#N/A,FALSE,"Riverside"}</definedName>
    <definedName name="ttttttttttttt" hidden="1">{"gyprint",#N/A,FALSE,"Goonyella";"rvprint",#N/A,FALSE,"Riverside"}</definedName>
    <definedName name="ttyu" localSheetId="0" hidden="1">{"gyprint",#N/A,FALSE,"Goonyella";"rvprint",#N/A,FALSE,"Riverside"}</definedName>
    <definedName name="ttyu" hidden="1">{"gyprint",#N/A,FALSE,"Goonyella";"rvprint",#N/A,FALSE,"Riverside"}</definedName>
    <definedName name="TUEMOORBN" localSheetId="0">#REF!</definedName>
    <definedName name="TUEMOORBN">#REF!</definedName>
    <definedName name="TUEMORN" localSheetId="0">#REF!</definedName>
    <definedName name="TUEMORN">#REF!</definedName>
    <definedName name="TUEOHDS" localSheetId="0">#REF!</definedName>
    <definedName name="TUEOHDS">#REF!</definedName>
    <definedName name="tut" localSheetId="0" hidden="1">{"gyprint",#N/A,FALSE,"Goonyella";"rvprint",#N/A,FALSE,"Riverside"}</definedName>
    <definedName name="tut" hidden="1">{"gyprint",#N/A,FALSE,"Goonyella";"rvprint",#N/A,FALSE,"Riverside"}</definedName>
    <definedName name="TWACorp" localSheetId="0">#REF!</definedName>
    <definedName name="TWACorp">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VALS" localSheetId="0">'[6]DTSJV - Jan 13'!#REF!</definedName>
    <definedName name="VALS">'[6]DTSJV - Jan 13'!#REF!</definedName>
    <definedName name="VarCodeDesc">'[8]Variance Codes'!$A$2:$B$102</definedName>
    <definedName name="VASG" localSheetId="0" hidden="1">'[3]Target Data'!#REF!</definedName>
    <definedName name="VASG" hidden="1">'[3]Target Data'!#REF!</definedName>
    <definedName name="wrn.CASH." localSheetId="0" hidden="1">{#N/A,#N/A,FALSE,"BLUESKYE"}</definedName>
    <definedName name="wrn.CASH." hidden="1">{#N/A,#N/A,FALSE,"BLUESKYE"}</definedName>
    <definedName name="wrn.guides." localSheetId="0" hidden="1">{"gyprint",#N/A,FALSE,"Goonyella";"rvprint",#N/A,FALSE,"Riverside"}</definedName>
    <definedName name="wrn.guides." hidden="1">{"gyprint",#N/A,FALSE,"Goonyella";"rvprint",#N/A,FALSE,"Riverside"}</definedName>
    <definedName name="wrn.GYYR1." localSheetId="0" hidden="1">{"QUANTAT1",#N/A,FALSE,"GOONELLA YR1";"QUANTAT3",#N/A,FALSE,"GOONELLA YR1";"QUANTAT2",#N/A,FALSE,"GOONELLA YR1";"QUANTAT4",#N/A,FALSE,"GOONELLA YR1";"QUANTAT5",#N/A,FALSE,"GOONELLA YR1";"QUANTAT6",#N/A,FALSE,"GOONELLA YR1"}</definedName>
    <definedName name="wrn.GYYR1." hidden="1">{"QUANTAT1",#N/A,FALSE,"GOONELLA YR1";"QUANTAT3",#N/A,FALSE,"GOONELLA YR1";"QUANTAT2",#N/A,FALSE,"GOONELLA YR1";"QUANTAT4",#N/A,FALSE,"GOONELLA YR1";"QUANTAT5",#N/A,FALSE,"GOONELLA YR1";"QUANTAT6",#N/A,FALSE,"GOONELLA YR1"}</definedName>
    <definedName name="wrn.JVREPORT." localSheetId="0" hidden="1">{#N/A,#N/A,FALSE,"RESULTS";#N/A,#N/A,FALSE,"FORECAST";#N/A,#N/A,FALSE,"ProvGraph";#N/A,#N/A,FALSE,"NEG PROV";#N/A,#N/A,FALSE,"PROVCOSTGRAPH";#N/A,#N/A,FALSE,"FittGraph";#N/A,#N/A,FALSE,"HireGraph"}</definedName>
    <definedName name="wrn.JVREPORT." hidden="1">{#N/A,#N/A,FALSE,"RESULTS";#N/A,#N/A,FALSE,"FORECAST";#N/A,#N/A,FALSE,"ProvGraph";#N/A,#N/A,FALSE,"NEG PROV";#N/A,#N/A,FALSE,"PROVCOSTGRAPH";#N/A,#N/A,FALSE,"FittGraph";#N/A,#N/A,FALSE,"HireGraph"}</definedName>
    <definedName name="wrn.JVREPORT.1" localSheetId="0" hidden="1">{#N/A,#N/A,FALSE,"RESULTS";#N/A,#N/A,FALSE,"FORECAST";#N/A,#N/A,FALSE,"ProvGraph";#N/A,#N/A,FALSE,"NEG PROV";#N/A,#N/A,FALSE,"PROVCOSTGRAPH";#N/A,#N/A,FALSE,"FittGraph";#N/A,#N/A,FALSE,"HireGraph"}</definedName>
    <definedName name="wrn.JVREPORT.1" hidden="1">{#N/A,#N/A,FALSE,"RESULTS";#N/A,#N/A,FALSE,"FORECAST";#N/A,#N/A,FALSE,"ProvGraph";#N/A,#N/A,FALSE,"NEG PROV";#N/A,#N/A,FALSE,"PROVCOSTGRAPH";#N/A,#N/A,FALSE,"FittGraph";#N/A,#N/A,FALSE,"HireGraph"}</definedName>
    <definedName name="wrn.PROFIT." localSheetId="0" hidden="1">{#N/A,#N/A,FALSE,"BLUESKYE"}</definedName>
    <definedName name="wrn.PROFIT." hidden="1">{#N/A,#N/A,FALSE,"BLUESKYE"}</definedName>
    <definedName name="wrn.RVYR1." localSheetId="0" hidden="1">{"RVQUANTAT1",#N/A,FALSE,"RIVERSIDE YR1";"RVQUANTAT2",#N/A,FALSE,"RIVERSIDE YR1";"RVQUANTAT3",#N/A,FALSE,"RIVERSIDE YR1"}</definedName>
    <definedName name="wrn.RVYR1." hidden="1">{"RVQUANTAT1",#N/A,FALSE,"RIVERSIDE YR1";"RVQUANTAT2",#N/A,FALSE,"RIVERSIDE YR1";"RVQUANTAT3",#N/A,FALSE,"RIVERSIDE YR1"}</definedName>
    <definedName name="wrn.YR1." localSheetId="0" hidden="1">{"QUANTAT1",#N/A,TRUE,"GOONELLA YR1";"QUANTAT2",#N/A,TRUE,"GOONELLA YR1";"RVQUANTAT1",#N/A,TRUE,"RIVERSIDE YR1";"RVQUANTAT2",#N/A,TRUE,"RIVERSIDE YR1";"RVQUANTAT3",#N/A,TRUE,"RIVERSIDE YR1YTD"}</definedName>
    <definedName name="wrn.YR1." hidden="1">{"QUANTAT1",#N/A,TRUE,"GOONELLA YR1";"QUANTAT2",#N/A,TRUE,"GOONELLA YR1";"RVQUANTAT1",#N/A,TRUE,"RIVERSIDE YR1";"RVQUANTAT2",#N/A,TRUE,"RIVERSIDE YR1";"RVQUANTAT3",#N/A,TRUE,"RIVERSIDE YR1YTD"}</definedName>
    <definedName name="wrn.YR2." localSheetId="0" hidden="1">{"QUANTAT1",#N/A,TRUE,"GOONELLA YR2";"QUANTAT2",#N/A,TRUE,"GOONELLA YR2";"QUANTAT1",#N/A,TRUE,"RIVERSIDE YR2";"QUANTAT2",#N/A,TRUE,"RIVERSIDE YR2";"QUANTAT3",#N/A,TRUE,"GOONELLA YR2";"QUANTAT3",#N/A,TRUE,"RIVERSIDE YR2"}</definedName>
    <definedName name="wrn.YR2." hidden="1">{"QUANTAT1",#N/A,TRUE,"GOONELLA YR2";"QUANTAT2",#N/A,TRUE,"GOONELLA YR2";"QUANTAT1",#N/A,TRUE,"RIVERSIDE YR2";"QUANTAT2",#N/A,TRUE,"RIVERSIDE YR2";"QUANTAT3",#N/A,TRUE,"GOONELLA YR2";"QUANTAT3",#N/A,TRUE,"RIVERSIDE YR2"}</definedName>
    <definedName name="wrnJVRPRT" localSheetId="0" hidden="1">{#N/A,#N/A,FALSE,"RESULTS";#N/A,#N/A,FALSE,"FORECAST";#N/A,#N/A,FALSE,"ProvGraph";#N/A,#N/A,FALSE,"NEG PROV";#N/A,#N/A,FALSE,"PROVCOSTGRAPH";#N/A,#N/A,FALSE,"FittGraph";#N/A,#N/A,FALSE,"HireGraph"}</definedName>
    <definedName name="wrnJVRPRT" hidden="1">{#N/A,#N/A,FALSE,"RESULTS";#N/A,#N/A,FALSE,"FORECAST";#N/A,#N/A,FALSE,"ProvGraph";#N/A,#N/A,FALSE,"NEG PROV";#N/A,#N/A,FALSE,"PROVCOSTGRAPH";#N/A,#N/A,FALSE,"FittGraph";#N/A,#N/A,FALSE,"HireGraph"}</definedName>
    <definedName name="y" localSheetId="0" hidden="1">{#N/A,#N/A,FALSE,"RESULTS";#N/A,#N/A,FALSE,"FORECAST";#N/A,#N/A,FALSE,"ProvGraph";#N/A,#N/A,FALSE,"FittGraph";#N/A,#N/A,FALSE,"NEG PROV";#N/A,#N/A,FALSE,"PROVCOSTGRAPH";#N/A,#N/A,FALSE,"HireGraph"}</definedName>
    <definedName name="y" hidden="1">{#N/A,#N/A,FALSE,"RESULTS";#N/A,#N/A,FALSE,"FORECAST";#N/A,#N/A,FALSE,"ProvGraph";#N/A,#N/A,FALSE,"FittGraph";#N/A,#N/A,FALSE,"NEG PROV";#N/A,#N/A,FALSE,"PROVCOSTGRAPH";#N/A,#N/A,FALSE,"HireGraph"}</definedName>
    <definedName name="YesNo">'[17]2.1 Regional Priorities'!$D$45:$D$46</definedName>
    <definedName name="YTDActual" localSheetId="0">#REF!</definedName>
    <definedName name="YTDActual">#REF!</definedName>
    <definedName name="YTDLastMth" localSheetId="0">#REF!</definedName>
    <definedName name="YTDLastMth">#REF!</definedName>
    <definedName name="z" localSheetId="0" hidden="1">{#N/A,#N/A,FALSE,"RESULTS";#N/A,#N/A,FALSE,"FORECAST";#N/A,#N/A,FALSE,"ProvGraph";#N/A,#N/A,FALSE,"FittGraph";#N/A,#N/A,FALSE,"NEG PROV";#N/A,#N/A,FALSE,"PROVCOSTGRAPH";#N/A,#N/A,FALSE,"HireGraph"}</definedName>
    <definedName name="z" hidden="1">{#N/A,#N/A,FALSE,"RESULTS";#N/A,#N/A,FALSE,"FORECAST";#N/A,#N/A,FALSE,"ProvGraph";#N/A,#N/A,FALSE,"FittGraph";#N/A,#N/A,FALSE,"NEG PROV";#N/A,#N/A,FALSE,"PROVCOSTGRAPH";#N/A,#N/A,FALSE,"HireGraph"}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62" i="1" l="1"/>
  <c r="N694" i="1"/>
  <c r="M694" i="1"/>
  <c r="W693" i="1"/>
  <c r="S693" i="1"/>
  <c r="X693" i="1" s="1"/>
  <c r="Y693" i="1" s="1"/>
  <c r="N693" i="1"/>
  <c r="M693" i="1"/>
  <c r="X692" i="1"/>
  <c r="Y692" i="1" s="1"/>
  <c r="W692" i="1"/>
  <c r="S692" i="1"/>
  <c r="N692" i="1"/>
  <c r="M692" i="1"/>
  <c r="W691" i="1"/>
  <c r="S691" i="1"/>
  <c r="X691" i="1" s="1"/>
  <c r="Y691" i="1" s="1"/>
  <c r="N691" i="1"/>
  <c r="M691" i="1"/>
  <c r="X690" i="1"/>
  <c r="Y690" i="1" s="1"/>
  <c r="W690" i="1"/>
  <c r="S690" i="1"/>
  <c r="N690" i="1"/>
  <c r="M690" i="1"/>
  <c r="W689" i="1"/>
  <c r="S689" i="1"/>
  <c r="X689" i="1" s="1"/>
  <c r="Y689" i="1" s="1"/>
  <c r="N689" i="1"/>
  <c r="M689" i="1"/>
  <c r="X688" i="1"/>
  <c r="Y688" i="1" s="1"/>
  <c r="W688" i="1"/>
  <c r="S688" i="1"/>
  <c r="N688" i="1"/>
  <c r="M688" i="1"/>
  <c r="W687" i="1"/>
  <c r="S687" i="1"/>
  <c r="X687" i="1" s="1"/>
  <c r="Y687" i="1" s="1"/>
  <c r="N687" i="1"/>
  <c r="M687" i="1"/>
  <c r="X686" i="1"/>
  <c r="Y686" i="1" s="1"/>
  <c r="W686" i="1"/>
  <c r="T686" i="1"/>
  <c r="S686" i="1"/>
  <c r="N686" i="1"/>
  <c r="M686" i="1"/>
  <c r="AH685" i="1"/>
  <c r="AF685" i="1"/>
  <c r="W685" i="1"/>
  <c r="S685" i="1"/>
  <c r="X685" i="1" s="1"/>
  <c r="Y685" i="1" s="1"/>
  <c r="N685" i="1"/>
  <c r="M685" i="1"/>
  <c r="X684" i="1"/>
  <c r="Y684" i="1" s="1"/>
  <c r="W684" i="1"/>
  <c r="T684" i="1"/>
  <c r="S684" i="1"/>
  <c r="N684" i="1"/>
  <c r="M684" i="1"/>
  <c r="AH683" i="1"/>
  <c r="X683" i="1"/>
  <c r="Y683" i="1" s="1"/>
  <c r="W683" i="1"/>
  <c r="T683" i="1"/>
  <c r="S683" i="1"/>
  <c r="N683" i="1"/>
  <c r="M683" i="1"/>
  <c r="AH682" i="1"/>
  <c r="AF682" i="1"/>
  <c r="Y682" i="1"/>
  <c r="W682" i="1"/>
  <c r="S682" i="1"/>
  <c r="X682" i="1" s="1"/>
  <c r="N682" i="1"/>
  <c r="M682" i="1"/>
  <c r="AH681" i="1"/>
  <c r="W681" i="1"/>
  <c r="S681" i="1"/>
  <c r="X681" i="1" s="1"/>
  <c r="Y681" i="1" s="1"/>
  <c r="N681" i="1"/>
  <c r="M681" i="1"/>
  <c r="AH680" i="1"/>
  <c r="W680" i="1"/>
  <c r="S680" i="1"/>
  <c r="X680" i="1" s="1"/>
  <c r="Y680" i="1" s="1"/>
  <c r="N680" i="1"/>
  <c r="M680" i="1"/>
  <c r="AH679" i="1"/>
  <c r="AF679" i="1"/>
  <c r="W679" i="1"/>
  <c r="T679" i="1"/>
  <c r="S679" i="1"/>
  <c r="X679" i="1" s="1"/>
  <c r="Y679" i="1" s="1"/>
  <c r="N679" i="1"/>
  <c r="M679" i="1"/>
  <c r="AH678" i="1"/>
  <c r="W678" i="1"/>
  <c r="T678" i="1"/>
  <c r="S678" i="1"/>
  <c r="X678" i="1" s="1"/>
  <c r="Y678" i="1" s="1"/>
  <c r="N678" i="1"/>
  <c r="M678" i="1"/>
  <c r="AH677" i="1"/>
  <c r="W677" i="1"/>
  <c r="T677" i="1"/>
  <c r="S677" i="1"/>
  <c r="X677" i="1" s="1"/>
  <c r="Y677" i="1" s="1"/>
  <c r="N677" i="1"/>
  <c r="M677" i="1"/>
  <c r="AH676" i="1"/>
  <c r="W676" i="1"/>
  <c r="T676" i="1"/>
  <c r="S676" i="1"/>
  <c r="X676" i="1" s="1"/>
  <c r="Y676" i="1" s="1"/>
  <c r="N676" i="1"/>
  <c r="M676" i="1"/>
  <c r="AH675" i="1"/>
  <c r="W675" i="1"/>
  <c r="T675" i="1"/>
  <c r="S675" i="1"/>
  <c r="X675" i="1" s="1"/>
  <c r="Y675" i="1" s="1"/>
  <c r="N675" i="1"/>
  <c r="M675" i="1"/>
  <c r="AH674" i="1"/>
  <c r="AF674" i="1"/>
  <c r="W674" i="1"/>
  <c r="T674" i="1"/>
  <c r="S674" i="1"/>
  <c r="X674" i="1" s="1"/>
  <c r="Y674" i="1" s="1"/>
  <c r="N674" i="1"/>
  <c r="M674" i="1"/>
  <c r="AH673" i="1"/>
  <c r="AF673" i="1"/>
  <c r="W673" i="1"/>
  <c r="X673" i="1" s="1"/>
  <c r="Y673" i="1" s="1"/>
  <c r="T673" i="1"/>
  <c r="S673" i="1"/>
  <c r="N673" i="1"/>
  <c r="M673" i="1"/>
  <c r="AH672" i="1"/>
  <c r="W672" i="1"/>
  <c r="X672" i="1" s="1"/>
  <c r="Y672" i="1" s="1"/>
  <c r="T672" i="1"/>
  <c r="S672" i="1"/>
  <c r="N672" i="1"/>
  <c r="M672" i="1"/>
  <c r="AH671" i="1"/>
  <c r="W671" i="1"/>
  <c r="X671" i="1" s="1"/>
  <c r="Y671" i="1" s="1"/>
  <c r="T671" i="1"/>
  <c r="S671" i="1"/>
  <c r="N671" i="1"/>
  <c r="M671" i="1"/>
  <c r="AH670" i="1"/>
  <c r="W670" i="1"/>
  <c r="Q670" i="1"/>
  <c r="N670" i="1"/>
  <c r="M670" i="1"/>
  <c r="AH669" i="1"/>
  <c r="W669" i="1"/>
  <c r="N669" i="1"/>
  <c r="M669" i="1"/>
  <c r="AH668" i="1"/>
  <c r="Y668" i="1"/>
  <c r="X668" i="1"/>
  <c r="W668" i="1"/>
  <c r="T668" i="1"/>
  <c r="S668" i="1"/>
  <c r="N668" i="1"/>
  <c r="M668" i="1"/>
  <c r="AH667" i="1"/>
  <c r="Y667" i="1"/>
  <c r="X667" i="1"/>
  <c r="W667" i="1"/>
  <c r="T667" i="1"/>
  <c r="S667" i="1"/>
  <c r="N667" i="1"/>
  <c r="M667" i="1"/>
  <c r="AH666" i="1"/>
  <c r="Y666" i="1"/>
  <c r="X666" i="1"/>
  <c r="W666" i="1"/>
  <c r="T666" i="1"/>
  <c r="S666" i="1"/>
  <c r="N666" i="1"/>
  <c r="M666" i="1"/>
  <c r="AH665" i="1"/>
  <c r="Y665" i="1"/>
  <c r="X665" i="1"/>
  <c r="W665" i="1"/>
  <c r="T665" i="1"/>
  <c r="S665" i="1"/>
  <c r="M665" i="1"/>
  <c r="J665" i="1"/>
  <c r="K665" i="1" s="1"/>
  <c r="N665" i="1" s="1"/>
  <c r="AH664" i="1"/>
  <c r="X664" i="1"/>
  <c r="Y664" i="1" s="1"/>
  <c r="W664" i="1"/>
  <c r="T664" i="1"/>
  <c r="S664" i="1"/>
  <c r="N664" i="1"/>
  <c r="M664" i="1"/>
  <c r="AH663" i="1"/>
  <c r="X663" i="1"/>
  <c r="Y663" i="1" s="1"/>
  <c r="W663" i="1"/>
  <c r="T663" i="1"/>
  <c r="S663" i="1"/>
  <c r="N663" i="1"/>
  <c r="M663" i="1"/>
  <c r="K663" i="1"/>
  <c r="J663" i="1"/>
  <c r="AH662" i="1"/>
  <c r="W662" i="1"/>
  <c r="S662" i="1"/>
  <c r="X662" i="1" s="1"/>
  <c r="Y662" i="1" s="1"/>
  <c r="N662" i="1"/>
  <c r="M662" i="1"/>
  <c r="AH661" i="1"/>
  <c r="W661" i="1"/>
  <c r="S661" i="1"/>
  <c r="X661" i="1" s="1"/>
  <c r="Y661" i="1" s="1"/>
  <c r="N661" i="1"/>
  <c r="M661" i="1"/>
  <c r="W660" i="1"/>
  <c r="X660" i="1" s="1"/>
  <c r="Y660" i="1" s="1"/>
  <c r="T660" i="1"/>
  <c r="N660" i="1"/>
  <c r="M660" i="1"/>
  <c r="AH659" i="1"/>
  <c r="X659" i="1"/>
  <c r="Y659" i="1" s="1"/>
  <c r="W659" i="1"/>
  <c r="T659" i="1"/>
  <c r="S659" i="1"/>
  <c r="N659" i="1"/>
  <c r="M659" i="1"/>
  <c r="K659" i="1"/>
  <c r="J659" i="1"/>
  <c r="AH658" i="1"/>
  <c r="W658" i="1"/>
  <c r="S658" i="1"/>
  <c r="X658" i="1" s="1"/>
  <c r="Y658" i="1" s="1"/>
  <c r="N658" i="1"/>
  <c r="M658" i="1"/>
  <c r="AH657" i="1"/>
  <c r="W657" i="1"/>
  <c r="S657" i="1"/>
  <c r="X657" i="1" s="1"/>
  <c r="Y657" i="1" s="1"/>
  <c r="N657" i="1"/>
  <c r="M657" i="1"/>
  <c r="AH656" i="1"/>
  <c r="W656" i="1"/>
  <c r="S656" i="1"/>
  <c r="X656" i="1" s="1"/>
  <c r="Y656" i="1" s="1"/>
  <c r="N656" i="1"/>
  <c r="M656" i="1"/>
  <c r="AH655" i="1"/>
  <c r="W655" i="1"/>
  <c r="S655" i="1"/>
  <c r="X655" i="1" s="1"/>
  <c r="Y655" i="1" s="1"/>
  <c r="N655" i="1"/>
  <c r="M655" i="1"/>
  <c r="AH654" i="1"/>
  <c r="W654" i="1"/>
  <c r="S654" i="1"/>
  <c r="X654" i="1" s="1"/>
  <c r="Y654" i="1" s="1"/>
  <c r="N654" i="1"/>
  <c r="M654" i="1"/>
  <c r="AH653" i="1"/>
  <c r="W653" i="1"/>
  <c r="Q653" i="1"/>
  <c r="S653" i="1" s="1"/>
  <c r="N653" i="1"/>
  <c r="M653" i="1"/>
  <c r="AH652" i="1"/>
  <c r="W652" i="1"/>
  <c r="N652" i="1"/>
  <c r="M652" i="1"/>
  <c r="AH651" i="1"/>
  <c r="W651" i="1"/>
  <c r="X651" i="1" s="1"/>
  <c r="Y651" i="1" s="1"/>
  <c r="T651" i="1"/>
  <c r="S651" i="1"/>
  <c r="N651" i="1"/>
  <c r="M651" i="1"/>
  <c r="AH650" i="1"/>
  <c r="W650" i="1"/>
  <c r="X650" i="1" s="1"/>
  <c r="Y650" i="1" s="1"/>
  <c r="T650" i="1"/>
  <c r="S650" i="1"/>
  <c r="N650" i="1"/>
  <c r="M650" i="1"/>
  <c r="AH649" i="1"/>
  <c r="W649" i="1"/>
  <c r="T649" i="1"/>
  <c r="S649" i="1"/>
  <c r="X649" i="1" s="1"/>
  <c r="Y649" i="1" s="1"/>
  <c r="N649" i="1"/>
  <c r="M649" i="1"/>
  <c r="K649" i="1"/>
  <c r="J649" i="1"/>
  <c r="AH648" i="1"/>
  <c r="X648" i="1"/>
  <c r="Y648" i="1" s="1"/>
  <c r="W648" i="1"/>
  <c r="T648" i="1"/>
  <c r="S648" i="1"/>
  <c r="N648" i="1"/>
  <c r="M648" i="1"/>
  <c r="AH647" i="1"/>
  <c r="X647" i="1"/>
  <c r="Y647" i="1" s="1"/>
  <c r="W647" i="1"/>
  <c r="T647" i="1"/>
  <c r="S647" i="1"/>
  <c r="N647" i="1"/>
  <c r="M647" i="1"/>
  <c r="AH646" i="1"/>
  <c r="W646" i="1"/>
  <c r="T646" i="1"/>
  <c r="Q646" i="1"/>
  <c r="S646" i="1" s="1"/>
  <c r="X646" i="1" s="1"/>
  <c r="Y646" i="1" s="1"/>
  <c r="N646" i="1"/>
  <c r="M646" i="1"/>
  <c r="AH645" i="1"/>
  <c r="W645" i="1"/>
  <c r="N645" i="1"/>
  <c r="M645" i="1"/>
  <c r="AH644" i="1"/>
  <c r="W644" i="1"/>
  <c r="Q644" i="1"/>
  <c r="S644" i="1" s="1"/>
  <c r="T644" i="1" s="1"/>
  <c r="N644" i="1"/>
  <c r="M644" i="1"/>
  <c r="AH643" i="1"/>
  <c r="W643" i="1"/>
  <c r="Q643" i="1"/>
  <c r="S643" i="1" s="1"/>
  <c r="N643" i="1"/>
  <c r="M643" i="1"/>
  <c r="AH642" i="1"/>
  <c r="W642" i="1"/>
  <c r="S642" i="1"/>
  <c r="X642" i="1" s="1"/>
  <c r="Y642" i="1" s="1"/>
  <c r="N642" i="1"/>
  <c r="M642" i="1"/>
  <c r="AH641" i="1"/>
  <c r="W641" i="1"/>
  <c r="S641" i="1"/>
  <c r="X641" i="1" s="1"/>
  <c r="Y641" i="1" s="1"/>
  <c r="N641" i="1"/>
  <c r="M641" i="1"/>
  <c r="AH640" i="1"/>
  <c r="W640" i="1"/>
  <c r="S640" i="1"/>
  <c r="X640" i="1" s="1"/>
  <c r="Y640" i="1" s="1"/>
  <c r="N640" i="1"/>
  <c r="M640" i="1"/>
  <c r="AH639" i="1"/>
  <c r="W639" i="1"/>
  <c r="S639" i="1"/>
  <c r="X639" i="1" s="1"/>
  <c r="Y639" i="1" s="1"/>
  <c r="N639" i="1"/>
  <c r="M639" i="1"/>
  <c r="AH638" i="1"/>
  <c r="W638" i="1"/>
  <c r="S638" i="1"/>
  <c r="X638" i="1" s="1"/>
  <c r="Y638" i="1" s="1"/>
  <c r="M638" i="1"/>
  <c r="K638" i="1"/>
  <c r="N638" i="1" s="1"/>
  <c r="J638" i="1"/>
  <c r="AH637" i="1"/>
  <c r="AF637" i="1"/>
  <c r="W637" i="1"/>
  <c r="S637" i="1"/>
  <c r="N637" i="1"/>
  <c r="M637" i="1"/>
  <c r="AH636" i="1"/>
  <c r="AF636" i="1"/>
  <c r="X636" i="1"/>
  <c r="Y636" i="1" s="1"/>
  <c r="W636" i="1"/>
  <c r="T636" i="1"/>
  <c r="S636" i="1"/>
  <c r="N636" i="1"/>
  <c r="M636" i="1"/>
  <c r="AH635" i="1"/>
  <c r="AF635" i="1"/>
  <c r="W635" i="1"/>
  <c r="X635" i="1" s="1"/>
  <c r="Y635" i="1" s="1"/>
  <c r="S635" i="1"/>
  <c r="T635" i="1" s="1"/>
  <c r="N635" i="1"/>
  <c r="M635" i="1"/>
  <c r="AH634" i="1"/>
  <c r="W634" i="1"/>
  <c r="X634" i="1" s="1"/>
  <c r="Y634" i="1" s="1"/>
  <c r="S634" i="1"/>
  <c r="T634" i="1" s="1"/>
  <c r="N634" i="1"/>
  <c r="M634" i="1"/>
  <c r="AH633" i="1"/>
  <c r="W633" i="1"/>
  <c r="X633" i="1" s="1"/>
  <c r="Y633" i="1" s="1"/>
  <c r="S633" i="1"/>
  <c r="T633" i="1" s="1"/>
  <c r="N633" i="1"/>
  <c r="M633" i="1"/>
  <c r="AH632" i="1"/>
  <c r="W632" i="1"/>
  <c r="X632" i="1" s="1"/>
  <c r="Y632" i="1" s="1"/>
  <c r="S632" i="1"/>
  <c r="T632" i="1" s="1"/>
  <c r="Q632" i="1"/>
  <c r="N632" i="1"/>
  <c r="M632" i="1"/>
  <c r="AH631" i="1"/>
  <c r="X631" i="1"/>
  <c r="Y631" i="1" s="1"/>
  <c r="W631" i="1"/>
  <c r="T631" i="1"/>
  <c r="S631" i="1"/>
  <c r="N631" i="1"/>
  <c r="M631" i="1"/>
  <c r="AH630" i="1"/>
  <c r="AF630" i="1"/>
  <c r="Y630" i="1"/>
  <c r="W630" i="1"/>
  <c r="S630" i="1"/>
  <c r="X630" i="1" s="1"/>
  <c r="M630" i="1"/>
  <c r="J630" i="1"/>
  <c r="K630" i="1" s="1"/>
  <c r="N630" i="1" s="1"/>
  <c r="AH629" i="1"/>
  <c r="W629" i="1"/>
  <c r="S629" i="1"/>
  <c r="X629" i="1" s="1"/>
  <c r="Y629" i="1" s="1"/>
  <c r="M629" i="1"/>
  <c r="J629" i="1"/>
  <c r="K629" i="1" s="1"/>
  <c r="N629" i="1" s="1"/>
  <c r="AH628" i="1"/>
  <c r="W628" i="1"/>
  <c r="S628" i="1"/>
  <c r="N628" i="1"/>
  <c r="M628" i="1"/>
  <c r="AH627" i="1"/>
  <c r="W627" i="1"/>
  <c r="S627" i="1"/>
  <c r="N627" i="1"/>
  <c r="M627" i="1"/>
  <c r="AH626" i="1"/>
  <c r="W626" i="1"/>
  <c r="S626" i="1"/>
  <c r="N626" i="1"/>
  <c r="M626" i="1"/>
  <c r="AH625" i="1"/>
  <c r="W625" i="1"/>
  <c r="S625" i="1"/>
  <c r="N625" i="1"/>
  <c r="M625" i="1"/>
  <c r="AH624" i="1"/>
  <c r="W624" i="1"/>
  <c r="S624" i="1"/>
  <c r="N624" i="1"/>
  <c r="M624" i="1"/>
  <c r="AH623" i="1"/>
  <c r="W623" i="1"/>
  <c r="S623" i="1"/>
  <c r="N623" i="1"/>
  <c r="M623" i="1"/>
  <c r="AH622" i="1"/>
  <c r="AF622" i="1"/>
  <c r="X622" i="1"/>
  <c r="Y622" i="1" s="1"/>
  <c r="W622" i="1"/>
  <c r="T622" i="1"/>
  <c r="S622" i="1"/>
  <c r="N622" i="1"/>
  <c r="M622" i="1"/>
  <c r="AH621" i="1"/>
  <c r="X621" i="1"/>
  <c r="Y621" i="1" s="1"/>
  <c r="W621" i="1"/>
  <c r="T621" i="1"/>
  <c r="S621" i="1"/>
  <c r="N621" i="1"/>
  <c r="M621" i="1"/>
  <c r="AH620" i="1"/>
  <c r="X620" i="1"/>
  <c r="Y620" i="1" s="1"/>
  <c r="W620" i="1"/>
  <c r="T620" i="1"/>
  <c r="S620" i="1"/>
  <c r="N620" i="1"/>
  <c r="M620" i="1"/>
  <c r="AH619" i="1"/>
  <c r="X619" i="1"/>
  <c r="Y619" i="1" s="1"/>
  <c r="W619" i="1"/>
  <c r="T619" i="1"/>
  <c r="S619" i="1"/>
  <c r="N619" i="1"/>
  <c r="M619" i="1"/>
  <c r="AH618" i="1"/>
  <c r="X618" i="1"/>
  <c r="Y618" i="1" s="1"/>
  <c r="W618" i="1"/>
  <c r="T618" i="1"/>
  <c r="S618" i="1"/>
  <c r="N618" i="1"/>
  <c r="M618" i="1"/>
  <c r="AH617" i="1"/>
  <c r="X617" i="1"/>
  <c r="Y617" i="1" s="1"/>
  <c r="W617" i="1"/>
  <c r="T617" i="1"/>
  <c r="S617" i="1"/>
  <c r="N617" i="1"/>
  <c r="M617" i="1"/>
  <c r="AH616" i="1"/>
  <c r="X616" i="1"/>
  <c r="Y616" i="1" s="1"/>
  <c r="W616" i="1"/>
  <c r="T616" i="1"/>
  <c r="S616" i="1"/>
  <c r="N616" i="1"/>
  <c r="M616" i="1"/>
  <c r="AH615" i="1"/>
  <c r="X615" i="1"/>
  <c r="Y615" i="1" s="1"/>
  <c r="W615" i="1"/>
  <c r="T615" i="1"/>
  <c r="S615" i="1"/>
  <c r="N615" i="1"/>
  <c r="M615" i="1"/>
  <c r="AH614" i="1"/>
  <c r="W614" i="1"/>
  <c r="T614" i="1"/>
  <c r="Q614" i="1"/>
  <c r="S614" i="1" s="1"/>
  <c r="X614" i="1" s="1"/>
  <c r="Y614" i="1" s="1"/>
  <c r="N614" i="1"/>
  <c r="M614" i="1"/>
  <c r="AH613" i="1"/>
  <c r="W613" i="1"/>
  <c r="N613" i="1"/>
  <c r="M613" i="1"/>
  <c r="AH612" i="1"/>
  <c r="X612" i="1"/>
  <c r="Y612" i="1" s="1"/>
  <c r="W612" i="1"/>
  <c r="T612" i="1"/>
  <c r="S612" i="1"/>
  <c r="Q612" i="1"/>
  <c r="Q611" i="1" s="1"/>
  <c r="S611" i="1" s="1"/>
  <c r="N612" i="1"/>
  <c r="M612" i="1"/>
  <c r="AH611" i="1"/>
  <c r="W611" i="1"/>
  <c r="N611" i="1"/>
  <c r="M611" i="1"/>
  <c r="AH610" i="1"/>
  <c r="W610" i="1"/>
  <c r="Q610" i="1"/>
  <c r="S610" i="1" s="1"/>
  <c r="N610" i="1"/>
  <c r="M610" i="1"/>
  <c r="AH609" i="1"/>
  <c r="W609" i="1"/>
  <c r="N609" i="1"/>
  <c r="M609" i="1"/>
  <c r="AH608" i="1"/>
  <c r="Y608" i="1"/>
  <c r="X608" i="1"/>
  <c r="W608" i="1"/>
  <c r="T608" i="1"/>
  <c r="S608" i="1"/>
  <c r="N608" i="1"/>
  <c r="M608" i="1"/>
  <c r="AH607" i="1"/>
  <c r="W607" i="1"/>
  <c r="Q607" i="1"/>
  <c r="N607" i="1"/>
  <c r="M607" i="1"/>
  <c r="AH606" i="1"/>
  <c r="W606" i="1"/>
  <c r="N606" i="1"/>
  <c r="M606" i="1"/>
  <c r="AH605" i="1"/>
  <c r="AF605" i="1"/>
  <c r="W605" i="1"/>
  <c r="S605" i="1"/>
  <c r="T605" i="1" s="1"/>
  <c r="N605" i="1"/>
  <c r="M605" i="1"/>
  <c r="AH604" i="1"/>
  <c r="W604" i="1"/>
  <c r="S604" i="1"/>
  <c r="T604" i="1" s="1"/>
  <c r="N604" i="1"/>
  <c r="M604" i="1"/>
  <c r="AH603" i="1"/>
  <c r="W603" i="1"/>
  <c r="S603" i="1"/>
  <c r="T603" i="1" s="1"/>
  <c r="M603" i="1"/>
  <c r="J603" i="1"/>
  <c r="K603" i="1" s="1"/>
  <c r="N603" i="1" s="1"/>
  <c r="AH602" i="1"/>
  <c r="Y602" i="1"/>
  <c r="W602" i="1"/>
  <c r="T602" i="1"/>
  <c r="S602" i="1"/>
  <c r="X602" i="1" s="1"/>
  <c r="N602" i="1"/>
  <c r="M602" i="1"/>
  <c r="AH601" i="1"/>
  <c r="Y601" i="1"/>
  <c r="W601" i="1"/>
  <c r="T601" i="1"/>
  <c r="S601" i="1"/>
  <c r="X601" i="1" s="1"/>
  <c r="Q601" i="1"/>
  <c r="N601" i="1"/>
  <c r="M601" i="1"/>
  <c r="AH600" i="1"/>
  <c r="X600" i="1"/>
  <c r="Y600" i="1" s="1"/>
  <c r="W600" i="1"/>
  <c r="S600" i="1"/>
  <c r="N600" i="1"/>
  <c r="M600" i="1"/>
  <c r="AH599" i="1"/>
  <c r="W599" i="1"/>
  <c r="T599" i="1"/>
  <c r="S599" i="1"/>
  <c r="X599" i="1" s="1"/>
  <c r="Y599" i="1" s="1"/>
  <c r="Q599" i="1"/>
  <c r="N599" i="1"/>
  <c r="M599" i="1"/>
  <c r="AH598" i="1"/>
  <c r="X598" i="1"/>
  <c r="Y598" i="1" s="1"/>
  <c r="W598" i="1"/>
  <c r="T598" i="1"/>
  <c r="S598" i="1"/>
  <c r="M598" i="1"/>
  <c r="K598" i="1"/>
  <c r="N598" i="1" s="1"/>
  <c r="J598" i="1"/>
  <c r="AH597" i="1"/>
  <c r="Y597" i="1"/>
  <c r="X597" i="1"/>
  <c r="W597" i="1"/>
  <c r="T597" i="1"/>
  <c r="S597" i="1"/>
  <c r="N597" i="1"/>
  <c r="M597" i="1"/>
  <c r="J597" i="1"/>
  <c r="AH596" i="1"/>
  <c r="W596" i="1"/>
  <c r="S596" i="1"/>
  <c r="Q596" i="1"/>
  <c r="N596" i="1"/>
  <c r="M596" i="1"/>
  <c r="AH595" i="1"/>
  <c r="S595" i="1"/>
  <c r="Q595" i="1"/>
  <c r="N595" i="1"/>
  <c r="M595" i="1"/>
  <c r="AH594" i="1"/>
  <c r="X594" i="1"/>
  <c r="Y594" i="1" s="1"/>
  <c r="W594" i="1"/>
  <c r="T594" i="1"/>
  <c r="S594" i="1"/>
  <c r="N594" i="1"/>
  <c r="M594" i="1"/>
  <c r="AH593" i="1"/>
  <c r="X593" i="1"/>
  <c r="Y593" i="1" s="1"/>
  <c r="W593" i="1"/>
  <c r="T593" i="1"/>
  <c r="S593" i="1"/>
  <c r="N593" i="1"/>
  <c r="M593" i="1"/>
  <c r="AH592" i="1"/>
  <c r="X592" i="1"/>
  <c r="Y592" i="1" s="1"/>
  <c r="W592" i="1"/>
  <c r="T592" i="1"/>
  <c r="S592" i="1"/>
  <c r="N592" i="1"/>
  <c r="M592" i="1"/>
  <c r="K592" i="1"/>
  <c r="J592" i="1"/>
  <c r="AH591" i="1"/>
  <c r="X591" i="1"/>
  <c r="Y591" i="1" s="1"/>
  <c r="W591" i="1"/>
  <c r="T591" i="1"/>
  <c r="S591" i="1"/>
  <c r="N591" i="1"/>
  <c r="M591" i="1"/>
  <c r="AH590" i="1"/>
  <c r="X590" i="1"/>
  <c r="Y590" i="1" s="1"/>
  <c r="W590" i="1"/>
  <c r="T590" i="1"/>
  <c r="S590" i="1"/>
  <c r="N590" i="1"/>
  <c r="M590" i="1"/>
  <c r="AH589" i="1"/>
  <c r="X589" i="1"/>
  <c r="Y589" i="1" s="1"/>
  <c r="W589" i="1"/>
  <c r="T589" i="1"/>
  <c r="S589" i="1"/>
  <c r="N589" i="1"/>
  <c r="M589" i="1"/>
  <c r="AH588" i="1"/>
  <c r="X588" i="1"/>
  <c r="Y588" i="1" s="1"/>
  <c r="W588" i="1"/>
  <c r="T588" i="1"/>
  <c r="S588" i="1"/>
  <c r="N588" i="1"/>
  <c r="M588" i="1"/>
  <c r="AH587" i="1"/>
  <c r="X587" i="1"/>
  <c r="Y587" i="1" s="1"/>
  <c r="W587" i="1"/>
  <c r="T587" i="1"/>
  <c r="S587" i="1"/>
  <c r="N587" i="1"/>
  <c r="M587" i="1"/>
  <c r="AH586" i="1"/>
  <c r="X586" i="1"/>
  <c r="Y586" i="1" s="1"/>
  <c r="W586" i="1"/>
  <c r="T586" i="1"/>
  <c r="S586" i="1"/>
  <c r="N586" i="1"/>
  <c r="M586" i="1"/>
  <c r="K586" i="1"/>
  <c r="J586" i="1"/>
  <c r="Y585" i="1"/>
  <c r="W585" i="1"/>
  <c r="T585" i="1"/>
  <c r="S585" i="1"/>
  <c r="X585" i="1" s="1"/>
  <c r="N585" i="1"/>
  <c r="M585" i="1"/>
  <c r="X584" i="1"/>
  <c r="Y584" i="1" s="1"/>
  <c r="W584" i="1"/>
  <c r="T584" i="1"/>
  <c r="S584" i="1"/>
  <c r="N584" i="1"/>
  <c r="M584" i="1"/>
  <c r="W583" i="1"/>
  <c r="S583" i="1"/>
  <c r="T583" i="1" s="1"/>
  <c r="N583" i="1"/>
  <c r="M583" i="1"/>
  <c r="AH582" i="1"/>
  <c r="AF582" i="1"/>
  <c r="X582" i="1"/>
  <c r="Y582" i="1" s="1"/>
  <c r="W582" i="1"/>
  <c r="T582" i="1"/>
  <c r="S582" i="1"/>
  <c r="N582" i="1"/>
  <c r="M582" i="1"/>
  <c r="K582" i="1"/>
  <c r="J582" i="1"/>
  <c r="AH581" i="1"/>
  <c r="X581" i="1"/>
  <c r="Y581" i="1" s="1"/>
  <c r="W581" i="1"/>
  <c r="T581" i="1"/>
  <c r="S581" i="1"/>
  <c r="N581" i="1"/>
  <c r="M581" i="1"/>
  <c r="J581" i="1"/>
  <c r="AH580" i="1"/>
  <c r="W580" i="1"/>
  <c r="X580" i="1" s="1"/>
  <c r="Y580" i="1" s="1"/>
  <c r="T580" i="1"/>
  <c r="S580" i="1"/>
  <c r="M580" i="1"/>
  <c r="J580" i="1"/>
  <c r="K580" i="1" s="1"/>
  <c r="N580" i="1" s="1"/>
  <c r="AH579" i="1"/>
  <c r="W579" i="1"/>
  <c r="S579" i="1"/>
  <c r="N579" i="1"/>
  <c r="M579" i="1"/>
  <c r="AH578" i="1"/>
  <c r="W578" i="1"/>
  <c r="S578" i="1"/>
  <c r="N578" i="1"/>
  <c r="M578" i="1"/>
  <c r="J578" i="1"/>
  <c r="AH577" i="1"/>
  <c r="Y577" i="1"/>
  <c r="X577" i="1"/>
  <c r="W577" i="1"/>
  <c r="T577" i="1"/>
  <c r="S577" i="1"/>
  <c r="N577" i="1"/>
  <c r="M577" i="1"/>
  <c r="K577" i="1"/>
  <c r="J577" i="1"/>
  <c r="AH576" i="1"/>
  <c r="AF576" i="1"/>
  <c r="Y576" i="1"/>
  <c r="W576" i="1"/>
  <c r="T576" i="1"/>
  <c r="S576" i="1"/>
  <c r="X576" i="1" s="1"/>
  <c r="M576" i="1"/>
  <c r="J576" i="1"/>
  <c r="K576" i="1" s="1"/>
  <c r="N576" i="1" s="1"/>
  <c r="AH575" i="1"/>
  <c r="AF575" i="1"/>
  <c r="Y575" i="1"/>
  <c r="X575" i="1"/>
  <c r="W575" i="1"/>
  <c r="T575" i="1"/>
  <c r="S575" i="1"/>
  <c r="N575" i="1"/>
  <c r="M575" i="1"/>
  <c r="K575" i="1"/>
  <c r="J575" i="1"/>
  <c r="AH574" i="1"/>
  <c r="AF574" i="1"/>
  <c r="W574" i="1"/>
  <c r="S574" i="1"/>
  <c r="T574" i="1" s="1"/>
  <c r="N574" i="1"/>
  <c r="M574" i="1"/>
  <c r="AH573" i="1"/>
  <c r="W573" i="1"/>
  <c r="S573" i="1"/>
  <c r="T573" i="1" s="1"/>
  <c r="N573" i="1"/>
  <c r="M573" i="1"/>
  <c r="AH572" i="1"/>
  <c r="W572" i="1"/>
  <c r="S572" i="1"/>
  <c r="T572" i="1" s="1"/>
  <c r="N572" i="1"/>
  <c r="M572" i="1"/>
  <c r="K572" i="1"/>
  <c r="AH571" i="1"/>
  <c r="X571" i="1"/>
  <c r="Y571" i="1" s="1"/>
  <c r="W571" i="1"/>
  <c r="T571" i="1"/>
  <c r="S571" i="1"/>
  <c r="N571" i="1"/>
  <c r="M571" i="1"/>
  <c r="AH570" i="1"/>
  <c r="X570" i="1"/>
  <c r="Y570" i="1" s="1"/>
  <c r="W570" i="1"/>
  <c r="T570" i="1"/>
  <c r="S570" i="1"/>
  <c r="N570" i="1"/>
  <c r="M570" i="1"/>
  <c r="AH569" i="1"/>
  <c r="X569" i="1"/>
  <c r="Y569" i="1" s="1"/>
  <c r="W569" i="1"/>
  <c r="T569" i="1"/>
  <c r="S569" i="1"/>
  <c r="N569" i="1"/>
  <c r="M569" i="1"/>
  <c r="AH568" i="1"/>
  <c r="X568" i="1"/>
  <c r="Y568" i="1" s="1"/>
  <c r="W568" i="1"/>
  <c r="T568" i="1"/>
  <c r="S568" i="1"/>
  <c r="N568" i="1"/>
  <c r="M568" i="1"/>
  <c r="AH567" i="1"/>
  <c r="X567" i="1"/>
  <c r="Y567" i="1" s="1"/>
  <c r="W567" i="1"/>
  <c r="T567" i="1"/>
  <c r="S567" i="1"/>
  <c r="N567" i="1"/>
  <c r="M567" i="1"/>
  <c r="AH566" i="1"/>
  <c r="X566" i="1"/>
  <c r="Y566" i="1" s="1"/>
  <c r="W566" i="1"/>
  <c r="T566" i="1"/>
  <c r="S566" i="1"/>
  <c r="N566" i="1"/>
  <c r="M566" i="1"/>
  <c r="AH565" i="1"/>
  <c r="X565" i="1"/>
  <c r="Y565" i="1" s="1"/>
  <c r="W565" i="1"/>
  <c r="T565" i="1"/>
  <c r="S565" i="1"/>
  <c r="N565" i="1"/>
  <c r="M565" i="1"/>
  <c r="AH564" i="1"/>
  <c r="X564" i="1"/>
  <c r="Y564" i="1" s="1"/>
  <c r="W564" i="1"/>
  <c r="T564" i="1"/>
  <c r="S564" i="1"/>
  <c r="N564" i="1"/>
  <c r="M564" i="1"/>
  <c r="AH563" i="1"/>
  <c r="X563" i="1"/>
  <c r="Y563" i="1" s="1"/>
  <c r="W563" i="1"/>
  <c r="T563" i="1"/>
  <c r="S563" i="1"/>
  <c r="N563" i="1"/>
  <c r="M563" i="1"/>
  <c r="J563" i="1"/>
  <c r="AH562" i="1"/>
  <c r="W562" i="1"/>
  <c r="S562" i="1"/>
  <c r="X562" i="1" s="1"/>
  <c r="Y562" i="1" s="1"/>
  <c r="N562" i="1"/>
  <c r="M562" i="1"/>
  <c r="AH561" i="1"/>
  <c r="W561" i="1"/>
  <c r="S561" i="1"/>
  <c r="X561" i="1" s="1"/>
  <c r="Y561" i="1" s="1"/>
  <c r="N561" i="1"/>
  <c r="M561" i="1"/>
  <c r="AH560" i="1"/>
  <c r="AF560" i="1"/>
  <c r="W560" i="1"/>
  <c r="T560" i="1"/>
  <c r="S560" i="1"/>
  <c r="X560" i="1" s="1"/>
  <c r="Y560" i="1" s="1"/>
  <c r="M560" i="1"/>
  <c r="K560" i="1"/>
  <c r="N560" i="1" s="1"/>
  <c r="J560" i="1"/>
  <c r="AH559" i="1"/>
  <c r="X559" i="1"/>
  <c r="Y559" i="1" s="1"/>
  <c r="W559" i="1"/>
  <c r="T559" i="1"/>
  <c r="S559" i="1"/>
  <c r="N559" i="1"/>
  <c r="M559" i="1"/>
  <c r="AH558" i="1"/>
  <c r="X558" i="1"/>
  <c r="Y558" i="1" s="1"/>
  <c r="W558" i="1"/>
  <c r="T558" i="1"/>
  <c r="S558" i="1"/>
  <c r="N558" i="1"/>
  <c r="M558" i="1"/>
  <c r="K558" i="1"/>
  <c r="J558" i="1"/>
  <c r="AH557" i="1"/>
  <c r="AF557" i="1"/>
  <c r="W557" i="1"/>
  <c r="S557" i="1"/>
  <c r="T557" i="1" s="1"/>
  <c r="M557" i="1"/>
  <c r="K557" i="1"/>
  <c r="N557" i="1" s="1"/>
  <c r="J557" i="1"/>
  <c r="AH556" i="1"/>
  <c r="W556" i="1"/>
  <c r="S556" i="1"/>
  <c r="M556" i="1"/>
  <c r="J556" i="1"/>
  <c r="K556" i="1" s="1"/>
  <c r="N556" i="1" s="1"/>
  <c r="AH555" i="1"/>
  <c r="W555" i="1"/>
  <c r="X555" i="1" s="1"/>
  <c r="Y555" i="1" s="1"/>
  <c r="T555" i="1"/>
  <c r="S555" i="1"/>
  <c r="N555" i="1"/>
  <c r="M555" i="1"/>
  <c r="W554" i="1"/>
  <c r="S554" i="1"/>
  <c r="X554" i="1" s="1"/>
  <c r="Y554" i="1" s="1"/>
  <c r="Q554" i="1"/>
  <c r="M554" i="1"/>
  <c r="AH553" i="1"/>
  <c r="W553" i="1"/>
  <c r="S553" i="1"/>
  <c r="N553" i="1"/>
  <c r="M553" i="1"/>
  <c r="AH552" i="1"/>
  <c r="W552" i="1"/>
  <c r="S552" i="1"/>
  <c r="M552" i="1"/>
  <c r="J552" i="1"/>
  <c r="K552" i="1" s="1"/>
  <c r="N552" i="1" s="1"/>
  <c r="AH551" i="1"/>
  <c r="W551" i="1"/>
  <c r="X551" i="1" s="1"/>
  <c r="Y551" i="1" s="1"/>
  <c r="T551" i="1"/>
  <c r="S551" i="1"/>
  <c r="N551" i="1"/>
  <c r="M551" i="1"/>
  <c r="AH550" i="1"/>
  <c r="W550" i="1"/>
  <c r="X550" i="1" s="1"/>
  <c r="Y550" i="1" s="1"/>
  <c r="T550" i="1"/>
  <c r="S550" i="1"/>
  <c r="N550" i="1"/>
  <c r="M550" i="1"/>
  <c r="AH549" i="1"/>
  <c r="W549" i="1"/>
  <c r="X549" i="1" s="1"/>
  <c r="Y549" i="1" s="1"/>
  <c r="T549" i="1"/>
  <c r="S549" i="1"/>
  <c r="N549" i="1"/>
  <c r="M549" i="1"/>
  <c r="AH548" i="1"/>
  <c r="W548" i="1"/>
  <c r="X548" i="1" s="1"/>
  <c r="Y548" i="1" s="1"/>
  <c r="U548" i="1"/>
  <c r="T548" i="1"/>
  <c r="S548" i="1"/>
  <c r="N548" i="1"/>
  <c r="M548" i="1"/>
  <c r="AH547" i="1"/>
  <c r="X547" i="1"/>
  <c r="Y547" i="1" s="1"/>
  <c r="W547" i="1"/>
  <c r="T547" i="1"/>
  <c r="S547" i="1"/>
  <c r="N547" i="1"/>
  <c r="M547" i="1"/>
  <c r="K547" i="1"/>
  <c r="J547" i="1"/>
  <c r="AH546" i="1"/>
  <c r="W546" i="1"/>
  <c r="T546" i="1"/>
  <c r="Q546" i="1"/>
  <c r="S546" i="1" s="1"/>
  <c r="X546" i="1" s="1"/>
  <c r="Y546" i="1" s="1"/>
  <c r="N546" i="1"/>
  <c r="M546" i="1"/>
  <c r="AH545" i="1"/>
  <c r="W545" i="1"/>
  <c r="Q545" i="1"/>
  <c r="S545" i="1" s="1"/>
  <c r="N545" i="1"/>
  <c r="M545" i="1"/>
  <c r="AH544" i="1"/>
  <c r="X544" i="1"/>
  <c r="Y544" i="1" s="1"/>
  <c r="W544" i="1"/>
  <c r="S544" i="1"/>
  <c r="T544" i="1" s="1"/>
  <c r="N544" i="1"/>
  <c r="M544" i="1"/>
  <c r="AH543" i="1"/>
  <c r="X543" i="1"/>
  <c r="Y543" i="1" s="1"/>
  <c r="W543" i="1"/>
  <c r="S543" i="1"/>
  <c r="T543" i="1" s="1"/>
  <c r="N543" i="1"/>
  <c r="M543" i="1"/>
  <c r="AH542" i="1"/>
  <c r="W542" i="1"/>
  <c r="Q542" i="1"/>
  <c r="N542" i="1"/>
  <c r="M542" i="1"/>
  <c r="AH541" i="1"/>
  <c r="W541" i="1"/>
  <c r="N541" i="1"/>
  <c r="M541" i="1"/>
  <c r="AH540" i="1"/>
  <c r="W540" i="1"/>
  <c r="S540" i="1"/>
  <c r="X540" i="1" s="1"/>
  <c r="Y540" i="1" s="1"/>
  <c r="N540" i="1"/>
  <c r="M540" i="1"/>
  <c r="AH539" i="1"/>
  <c r="W539" i="1"/>
  <c r="T539" i="1"/>
  <c r="S539" i="1"/>
  <c r="X539" i="1" s="1"/>
  <c r="Y539" i="1" s="1"/>
  <c r="N539" i="1"/>
  <c r="M539" i="1"/>
  <c r="AH538" i="1"/>
  <c r="W538" i="1"/>
  <c r="T538" i="1"/>
  <c r="S538" i="1"/>
  <c r="X538" i="1" s="1"/>
  <c r="Y538" i="1" s="1"/>
  <c r="N538" i="1"/>
  <c r="M538" i="1"/>
  <c r="AH537" i="1"/>
  <c r="W537" i="1"/>
  <c r="S537" i="1"/>
  <c r="X537" i="1" s="1"/>
  <c r="Y537" i="1" s="1"/>
  <c r="M537" i="1"/>
  <c r="K537" i="1"/>
  <c r="N537" i="1" s="1"/>
  <c r="J537" i="1"/>
  <c r="AH536" i="1"/>
  <c r="W536" i="1"/>
  <c r="X536" i="1" s="1"/>
  <c r="Y536" i="1" s="1"/>
  <c r="T536" i="1"/>
  <c r="S536" i="1"/>
  <c r="N536" i="1"/>
  <c r="M536" i="1"/>
  <c r="AH535" i="1"/>
  <c r="X535" i="1"/>
  <c r="Y535" i="1" s="1"/>
  <c r="W535" i="1"/>
  <c r="T535" i="1"/>
  <c r="S535" i="1"/>
  <c r="N535" i="1"/>
  <c r="M535" i="1"/>
  <c r="AH534" i="1"/>
  <c r="X534" i="1"/>
  <c r="Y534" i="1" s="1"/>
  <c r="W534" i="1"/>
  <c r="T534" i="1"/>
  <c r="S534" i="1"/>
  <c r="N534" i="1"/>
  <c r="M534" i="1"/>
  <c r="AH533" i="1"/>
  <c r="X533" i="1"/>
  <c r="Y533" i="1" s="1"/>
  <c r="W533" i="1"/>
  <c r="T533" i="1"/>
  <c r="S533" i="1"/>
  <c r="N533" i="1"/>
  <c r="M533" i="1"/>
  <c r="J533" i="1"/>
  <c r="AH532" i="1"/>
  <c r="Y532" i="1"/>
  <c r="X532" i="1"/>
  <c r="W532" i="1"/>
  <c r="S532" i="1"/>
  <c r="T532" i="1" s="1"/>
  <c r="N532" i="1"/>
  <c r="M532" i="1"/>
  <c r="AH531" i="1"/>
  <c r="AF531" i="1"/>
  <c r="Y531" i="1"/>
  <c r="W531" i="1"/>
  <c r="T531" i="1"/>
  <c r="Q531" i="1"/>
  <c r="S531" i="1" s="1"/>
  <c r="X531" i="1" s="1"/>
  <c r="N531" i="1"/>
  <c r="M531" i="1"/>
  <c r="AH530" i="1"/>
  <c r="W530" i="1"/>
  <c r="S530" i="1"/>
  <c r="T530" i="1" s="1"/>
  <c r="M530" i="1"/>
  <c r="K530" i="1"/>
  <c r="N530" i="1" s="1"/>
  <c r="J530" i="1"/>
  <c r="AH529" i="1"/>
  <c r="W529" i="1"/>
  <c r="S529" i="1"/>
  <c r="N529" i="1"/>
  <c r="M529" i="1"/>
  <c r="AH528" i="1"/>
  <c r="W528" i="1"/>
  <c r="S528" i="1"/>
  <c r="M528" i="1"/>
  <c r="J528" i="1"/>
  <c r="K528" i="1" s="1"/>
  <c r="N528" i="1" s="1"/>
  <c r="AH527" i="1"/>
  <c r="W527" i="1"/>
  <c r="X527" i="1" s="1"/>
  <c r="Y527" i="1" s="1"/>
  <c r="U527" i="1"/>
  <c r="T527" i="1"/>
  <c r="S527" i="1"/>
  <c r="N527" i="1"/>
  <c r="M527" i="1"/>
  <c r="AH526" i="1"/>
  <c r="X526" i="1"/>
  <c r="Y526" i="1" s="1"/>
  <c r="W526" i="1"/>
  <c r="T526" i="1"/>
  <c r="S526" i="1"/>
  <c r="N526" i="1"/>
  <c r="M526" i="1"/>
  <c r="AH525" i="1"/>
  <c r="X525" i="1"/>
  <c r="Y525" i="1" s="1"/>
  <c r="W525" i="1"/>
  <c r="T525" i="1"/>
  <c r="S525" i="1"/>
  <c r="N525" i="1"/>
  <c r="M525" i="1"/>
  <c r="AH524" i="1"/>
  <c r="X524" i="1"/>
  <c r="Y524" i="1" s="1"/>
  <c r="W524" i="1"/>
  <c r="T524" i="1"/>
  <c r="S524" i="1"/>
  <c r="N524" i="1"/>
  <c r="M524" i="1"/>
  <c r="AH523" i="1"/>
  <c r="W523" i="1"/>
  <c r="X523" i="1" s="1"/>
  <c r="Y523" i="1" s="1"/>
  <c r="T523" i="1"/>
  <c r="S523" i="1"/>
  <c r="N523" i="1"/>
  <c r="M523" i="1"/>
  <c r="AH522" i="1"/>
  <c r="X522" i="1"/>
  <c r="Y522" i="1" s="1"/>
  <c r="W522" i="1"/>
  <c r="T522" i="1"/>
  <c r="S522" i="1"/>
  <c r="N522" i="1"/>
  <c r="M522" i="1"/>
  <c r="AH521" i="1"/>
  <c r="AF521" i="1"/>
  <c r="W521" i="1"/>
  <c r="S521" i="1"/>
  <c r="T521" i="1" s="1"/>
  <c r="N521" i="1"/>
  <c r="M521" i="1"/>
  <c r="J521" i="1"/>
  <c r="AH520" i="1"/>
  <c r="AF520" i="1"/>
  <c r="W520" i="1"/>
  <c r="T520" i="1"/>
  <c r="S520" i="1"/>
  <c r="X520" i="1" s="1"/>
  <c r="Y520" i="1" s="1"/>
  <c r="M520" i="1"/>
  <c r="K520" i="1"/>
  <c r="N520" i="1" s="1"/>
  <c r="J520" i="1"/>
  <c r="AH519" i="1"/>
  <c r="AF519" i="1"/>
  <c r="W519" i="1"/>
  <c r="T519" i="1"/>
  <c r="S519" i="1"/>
  <c r="X519" i="1" s="1"/>
  <c r="Y519" i="1" s="1"/>
  <c r="M519" i="1"/>
  <c r="J519" i="1"/>
  <c r="K519" i="1" s="1"/>
  <c r="N519" i="1" s="1"/>
  <c r="AH518" i="1"/>
  <c r="W518" i="1"/>
  <c r="X518" i="1" s="1"/>
  <c r="Y518" i="1" s="1"/>
  <c r="T518" i="1"/>
  <c r="S518" i="1"/>
  <c r="N518" i="1"/>
  <c r="M518" i="1"/>
  <c r="AH517" i="1"/>
  <c r="X517" i="1"/>
  <c r="Y517" i="1" s="1"/>
  <c r="W517" i="1"/>
  <c r="T517" i="1"/>
  <c r="S517" i="1"/>
  <c r="N517" i="1"/>
  <c r="M517" i="1"/>
  <c r="AH516" i="1"/>
  <c r="X516" i="1"/>
  <c r="Y516" i="1" s="1"/>
  <c r="W516" i="1"/>
  <c r="T516" i="1"/>
  <c r="S516" i="1"/>
  <c r="N516" i="1"/>
  <c r="M516" i="1"/>
  <c r="K516" i="1"/>
  <c r="J516" i="1"/>
  <c r="AH515" i="1"/>
  <c r="W515" i="1"/>
  <c r="S515" i="1"/>
  <c r="T515" i="1" s="1"/>
  <c r="N515" i="1"/>
  <c r="M515" i="1"/>
  <c r="AH514" i="1"/>
  <c r="W514" i="1"/>
  <c r="S514" i="1"/>
  <c r="T514" i="1" s="1"/>
  <c r="M514" i="1"/>
  <c r="J514" i="1"/>
  <c r="K514" i="1" s="1"/>
  <c r="N514" i="1" s="1"/>
  <c r="AH513" i="1"/>
  <c r="W513" i="1"/>
  <c r="S513" i="1"/>
  <c r="T513" i="1" s="1"/>
  <c r="N513" i="1"/>
  <c r="M513" i="1"/>
  <c r="AH512" i="1"/>
  <c r="W512" i="1"/>
  <c r="S512" i="1"/>
  <c r="M512" i="1"/>
  <c r="K512" i="1"/>
  <c r="N512" i="1" s="1"/>
  <c r="J512" i="1"/>
  <c r="AH511" i="1"/>
  <c r="W511" i="1"/>
  <c r="S511" i="1"/>
  <c r="T511" i="1" s="1"/>
  <c r="N511" i="1"/>
  <c r="M511" i="1"/>
  <c r="K511" i="1"/>
  <c r="J511" i="1"/>
  <c r="AH510" i="1"/>
  <c r="Y510" i="1"/>
  <c r="W510" i="1"/>
  <c r="X510" i="1" s="1"/>
  <c r="T510" i="1"/>
  <c r="S510" i="1"/>
  <c r="M510" i="1"/>
  <c r="J510" i="1"/>
  <c r="K510" i="1" s="1"/>
  <c r="N510" i="1" s="1"/>
  <c r="AH509" i="1"/>
  <c r="Y509" i="1"/>
  <c r="X509" i="1"/>
  <c r="W509" i="1"/>
  <c r="S509" i="1"/>
  <c r="T509" i="1" s="1"/>
  <c r="N509" i="1"/>
  <c r="M509" i="1"/>
  <c r="AH508" i="1"/>
  <c r="Y508" i="1"/>
  <c r="X508" i="1"/>
  <c r="W508" i="1"/>
  <c r="S508" i="1"/>
  <c r="T508" i="1" s="1"/>
  <c r="Q508" i="1"/>
  <c r="N508" i="1"/>
  <c r="M508" i="1"/>
  <c r="AH507" i="1"/>
  <c r="Y507" i="1"/>
  <c r="W507" i="1"/>
  <c r="S507" i="1"/>
  <c r="X507" i="1" s="1"/>
  <c r="N507" i="1"/>
  <c r="M507" i="1"/>
  <c r="AH506" i="1"/>
  <c r="W506" i="1"/>
  <c r="S506" i="1"/>
  <c r="N506" i="1"/>
  <c r="M506" i="1"/>
  <c r="AH505" i="1"/>
  <c r="W505" i="1"/>
  <c r="T505" i="1"/>
  <c r="S505" i="1"/>
  <c r="N505" i="1"/>
  <c r="M505" i="1"/>
  <c r="AH504" i="1"/>
  <c r="Y504" i="1"/>
  <c r="W504" i="1"/>
  <c r="S504" i="1"/>
  <c r="X504" i="1" s="1"/>
  <c r="N504" i="1"/>
  <c r="M504" i="1"/>
  <c r="AH503" i="1"/>
  <c r="W503" i="1"/>
  <c r="S503" i="1"/>
  <c r="N503" i="1"/>
  <c r="M503" i="1"/>
  <c r="AH502" i="1"/>
  <c r="W502" i="1"/>
  <c r="T502" i="1"/>
  <c r="S502" i="1"/>
  <c r="X502" i="1" s="1"/>
  <c r="Y502" i="1" s="1"/>
  <c r="N502" i="1"/>
  <c r="M502" i="1"/>
  <c r="AH501" i="1"/>
  <c r="W501" i="1"/>
  <c r="S501" i="1"/>
  <c r="M501" i="1"/>
  <c r="K501" i="1"/>
  <c r="N501" i="1" s="1"/>
  <c r="J501" i="1"/>
  <c r="AH500" i="1"/>
  <c r="W500" i="1"/>
  <c r="S500" i="1"/>
  <c r="T500" i="1" s="1"/>
  <c r="N500" i="1"/>
  <c r="M500" i="1"/>
  <c r="J500" i="1"/>
  <c r="K500" i="1" s="1"/>
  <c r="AH499" i="1"/>
  <c r="X499" i="1"/>
  <c r="Y499" i="1" s="1"/>
  <c r="W499" i="1"/>
  <c r="S499" i="1"/>
  <c r="T499" i="1" s="1"/>
  <c r="N499" i="1"/>
  <c r="M499" i="1"/>
  <c r="AH498" i="1"/>
  <c r="AF498" i="1"/>
  <c r="Y498" i="1"/>
  <c r="W498" i="1"/>
  <c r="X498" i="1" s="1"/>
  <c r="T498" i="1"/>
  <c r="S498" i="1"/>
  <c r="N498" i="1"/>
  <c r="M498" i="1"/>
  <c r="J498" i="1"/>
  <c r="AH497" i="1"/>
  <c r="W497" i="1"/>
  <c r="X497" i="1" s="1"/>
  <c r="Y497" i="1" s="1"/>
  <c r="S497" i="1"/>
  <c r="T497" i="1" s="1"/>
  <c r="N497" i="1"/>
  <c r="M497" i="1"/>
  <c r="AH496" i="1"/>
  <c r="Y496" i="1"/>
  <c r="W496" i="1"/>
  <c r="X496" i="1" s="1"/>
  <c r="T496" i="1"/>
  <c r="S496" i="1"/>
  <c r="N496" i="1"/>
  <c r="M496" i="1"/>
  <c r="AH495" i="1"/>
  <c r="W495" i="1"/>
  <c r="R495" i="1"/>
  <c r="S495" i="1" s="1"/>
  <c r="N495" i="1"/>
  <c r="M495" i="1"/>
  <c r="AH494" i="1"/>
  <c r="W494" i="1"/>
  <c r="X494" i="1" s="1"/>
  <c r="Y494" i="1" s="1"/>
  <c r="S494" i="1"/>
  <c r="T494" i="1" s="1"/>
  <c r="N494" i="1"/>
  <c r="M494" i="1"/>
  <c r="AH493" i="1"/>
  <c r="W493" i="1"/>
  <c r="X493" i="1" s="1"/>
  <c r="Y493" i="1" s="1"/>
  <c r="S493" i="1"/>
  <c r="T493" i="1" s="1"/>
  <c r="M493" i="1"/>
  <c r="K493" i="1"/>
  <c r="N493" i="1" s="1"/>
  <c r="J493" i="1"/>
  <c r="AH492" i="1"/>
  <c r="AF492" i="1"/>
  <c r="W492" i="1"/>
  <c r="S492" i="1"/>
  <c r="N492" i="1"/>
  <c r="M492" i="1"/>
  <c r="AH491" i="1"/>
  <c r="W491" i="1"/>
  <c r="S491" i="1"/>
  <c r="M491" i="1"/>
  <c r="K491" i="1"/>
  <c r="N491" i="1" s="1"/>
  <c r="J491" i="1"/>
  <c r="AH490" i="1"/>
  <c r="W490" i="1"/>
  <c r="S490" i="1"/>
  <c r="T490" i="1" s="1"/>
  <c r="N490" i="1"/>
  <c r="M490" i="1"/>
  <c r="J490" i="1"/>
  <c r="AH489" i="1"/>
  <c r="X489" i="1"/>
  <c r="Y489" i="1" s="1"/>
  <c r="W489" i="1"/>
  <c r="S489" i="1"/>
  <c r="T489" i="1" s="1"/>
  <c r="M489" i="1"/>
  <c r="K489" i="1"/>
  <c r="N489" i="1" s="1"/>
  <c r="J489" i="1"/>
  <c r="AH488" i="1"/>
  <c r="AF488" i="1"/>
  <c r="X488" i="1"/>
  <c r="Y488" i="1" s="1"/>
  <c r="W488" i="1"/>
  <c r="S488" i="1"/>
  <c r="T488" i="1" s="1"/>
  <c r="M488" i="1"/>
  <c r="J488" i="1"/>
  <c r="K488" i="1" s="1"/>
  <c r="N488" i="1" s="1"/>
  <c r="AH487" i="1"/>
  <c r="W487" i="1"/>
  <c r="S487" i="1"/>
  <c r="N487" i="1"/>
  <c r="M487" i="1"/>
  <c r="AH486" i="1"/>
  <c r="W486" i="1"/>
  <c r="S486" i="1"/>
  <c r="N486" i="1"/>
  <c r="M486" i="1"/>
  <c r="J486" i="1"/>
  <c r="AH485" i="1"/>
  <c r="W485" i="1"/>
  <c r="T485" i="1"/>
  <c r="S485" i="1"/>
  <c r="X485" i="1" s="1"/>
  <c r="Y485" i="1" s="1"/>
  <c r="N485" i="1"/>
  <c r="M485" i="1"/>
  <c r="AH484" i="1"/>
  <c r="W484" i="1"/>
  <c r="T484" i="1"/>
  <c r="S484" i="1"/>
  <c r="X484" i="1" s="1"/>
  <c r="Y484" i="1" s="1"/>
  <c r="N484" i="1"/>
  <c r="M484" i="1"/>
  <c r="AH483" i="1"/>
  <c r="W483" i="1"/>
  <c r="T483" i="1"/>
  <c r="S483" i="1"/>
  <c r="X483" i="1" s="1"/>
  <c r="Y483" i="1" s="1"/>
  <c r="M483" i="1"/>
  <c r="J483" i="1"/>
  <c r="K483" i="1" s="1"/>
  <c r="N483" i="1" s="1"/>
  <c r="AH482" i="1"/>
  <c r="X482" i="1"/>
  <c r="Y482" i="1" s="1"/>
  <c r="W482" i="1"/>
  <c r="S482" i="1"/>
  <c r="T482" i="1" s="1"/>
  <c r="N482" i="1"/>
  <c r="M482" i="1"/>
  <c r="J482" i="1"/>
  <c r="AH481" i="1"/>
  <c r="W481" i="1"/>
  <c r="X481" i="1" s="1"/>
  <c r="Y481" i="1" s="1"/>
  <c r="T481" i="1"/>
  <c r="S481" i="1"/>
  <c r="N481" i="1"/>
  <c r="M481" i="1"/>
  <c r="J481" i="1"/>
  <c r="AH480" i="1"/>
  <c r="AF480" i="1"/>
  <c r="X480" i="1"/>
  <c r="Y480" i="1" s="1"/>
  <c r="W480" i="1"/>
  <c r="T480" i="1"/>
  <c r="S480" i="1"/>
  <c r="N480" i="1"/>
  <c r="M480" i="1"/>
  <c r="J480" i="1"/>
  <c r="AH479" i="1"/>
  <c r="W479" i="1"/>
  <c r="T479" i="1"/>
  <c r="S479" i="1"/>
  <c r="X479" i="1" s="1"/>
  <c r="Y479" i="1" s="1"/>
  <c r="N479" i="1"/>
  <c r="M479" i="1"/>
  <c r="AH478" i="1"/>
  <c r="W478" i="1"/>
  <c r="Q478" i="1"/>
  <c r="S478" i="1" s="1"/>
  <c r="M478" i="1"/>
  <c r="K478" i="1"/>
  <c r="N478" i="1" s="1"/>
  <c r="J478" i="1"/>
  <c r="AH477" i="1"/>
  <c r="W477" i="1"/>
  <c r="S477" i="1"/>
  <c r="T477" i="1" s="1"/>
  <c r="N477" i="1"/>
  <c r="M477" i="1"/>
  <c r="AH476" i="1"/>
  <c r="W476" i="1"/>
  <c r="S476" i="1"/>
  <c r="T476" i="1" s="1"/>
  <c r="N476" i="1"/>
  <c r="M476" i="1"/>
  <c r="AH475" i="1"/>
  <c r="W475" i="1"/>
  <c r="S475" i="1"/>
  <c r="T475" i="1" s="1"/>
  <c r="N475" i="1"/>
  <c r="M475" i="1"/>
  <c r="J475" i="1"/>
  <c r="AH474" i="1"/>
  <c r="X474" i="1"/>
  <c r="Y474" i="1" s="1"/>
  <c r="W474" i="1"/>
  <c r="S474" i="1"/>
  <c r="T474" i="1" s="1"/>
  <c r="N474" i="1"/>
  <c r="M474" i="1"/>
  <c r="J474" i="1"/>
  <c r="AH473" i="1"/>
  <c r="Y473" i="1"/>
  <c r="W473" i="1"/>
  <c r="X473" i="1" s="1"/>
  <c r="T473" i="1"/>
  <c r="S473" i="1"/>
  <c r="N473" i="1"/>
  <c r="M473" i="1"/>
  <c r="AH472" i="1"/>
  <c r="W472" i="1"/>
  <c r="X472" i="1" s="1"/>
  <c r="Y472" i="1" s="1"/>
  <c r="T472" i="1"/>
  <c r="S472" i="1"/>
  <c r="N472" i="1"/>
  <c r="M472" i="1"/>
  <c r="J472" i="1"/>
  <c r="AH471" i="1"/>
  <c r="W471" i="1"/>
  <c r="X471" i="1" s="1"/>
  <c r="Y471" i="1" s="1"/>
  <c r="S471" i="1"/>
  <c r="T471" i="1" s="1"/>
  <c r="N471" i="1"/>
  <c r="M471" i="1"/>
  <c r="AH470" i="1"/>
  <c r="W470" i="1"/>
  <c r="X470" i="1" s="1"/>
  <c r="Y470" i="1" s="1"/>
  <c r="S470" i="1"/>
  <c r="T470" i="1" s="1"/>
  <c r="N470" i="1"/>
  <c r="M470" i="1"/>
  <c r="AH469" i="1"/>
  <c r="W469" i="1"/>
  <c r="X469" i="1" s="1"/>
  <c r="Y469" i="1" s="1"/>
  <c r="S469" i="1"/>
  <c r="T469" i="1" s="1"/>
  <c r="N469" i="1"/>
  <c r="M469" i="1"/>
  <c r="AH468" i="1"/>
  <c r="W468" i="1"/>
  <c r="X468" i="1" s="1"/>
  <c r="Y468" i="1" s="1"/>
  <c r="S468" i="1"/>
  <c r="T468" i="1" s="1"/>
  <c r="N468" i="1"/>
  <c r="M468" i="1"/>
  <c r="AH467" i="1"/>
  <c r="W467" i="1"/>
  <c r="X467" i="1" s="1"/>
  <c r="Y467" i="1" s="1"/>
  <c r="S467" i="1"/>
  <c r="T467" i="1" s="1"/>
  <c r="M467" i="1"/>
  <c r="K467" i="1"/>
  <c r="N467" i="1" s="1"/>
  <c r="J467" i="1"/>
  <c r="AH466" i="1"/>
  <c r="AA466" i="1"/>
  <c r="W466" i="1"/>
  <c r="S466" i="1"/>
  <c r="N466" i="1"/>
  <c r="M466" i="1"/>
  <c r="J466" i="1"/>
  <c r="AH465" i="1"/>
  <c r="X465" i="1"/>
  <c r="Y465" i="1" s="1"/>
  <c r="W465" i="1"/>
  <c r="T465" i="1"/>
  <c r="S465" i="1"/>
  <c r="N465" i="1"/>
  <c r="M465" i="1"/>
  <c r="J465" i="1"/>
  <c r="AH464" i="1"/>
  <c r="AF464" i="1"/>
  <c r="X464" i="1"/>
  <c r="Y464" i="1" s="1"/>
  <c r="W464" i="1"/>
  <c r="S464" i="1"/>
  <c r="T464" i="1" s="1"/>
  <c r="N464" i="1"/>
  <c r="M464" i="1"/>
  <c r="J464" i="1"/>
  <c r="AH463" i="1"/>
  <c r="AF463" i="1"/>
  <c r="W463" i="1"/>
  <c r="X463" i="1" s="1"/>
  <c r="Y463" i="1" s="1"/>
  <c r="S463" i="1"/>
  <c r="T463" i="1" s="1"/>
  <c r="N463" i="1"/>
  <c r="M463" i="1"/>
  <c r="J463" i="1"/>
  <c r="AH462" i="1"/>
  <c r="X462" i="1"/>
  <c r="Y462" i="1" s="1"/>
  <c r="W462" i="1"/>
  <c r="S462" i="1"/>
  <c r="T462" i="1" s="1"/>
  <c r="M462" i="1"/>
  <c r="J462" i="1"/>
  <c r="K462" i="1" s="1"/>
  <c r="N462" i="1" s="1"/>
  <c r="AH461" i="1"/>
  <c r="W461" i="1"/>
  <c r="S461" i="1"/>
  <c r="N461" i="1"/>
  <c r="M461" i="1"/>
  <c r="AH460" i="1"/>
  <c r="W460" i="1"/>
  <c r="S460" i="1"/>
  <c r="N460" i="1"/>
  <c r="M460" i="1"/>
  <c r="AH459" i="1"/>
  <c r="W459" i="1"/>
  <c r="S459" i="1"/>
  <c r="N459" i="1"/>
  <c r="M459" i="1"/>
  <c r="AH458" i="1"/>
  <c r="W458" i="1"/>
  <c r="S458" i="1"/>
  <c r="N458" i="1"/>
  <c r="M458" i="1"/>
  <c r="J458" i="1"/>
  <c r="AH457" i="1"/>
  <c r="W457" i="1"/>
  <c r="T457" i="1"/>
  <c r="S457" i="1"/>
  <c r="X457" i="1" s="1"/>
  <c r="Y457" i="1" s="1"/>
  <c r="N457" i="1"/>
  <c r="M457" i="1"/>
  <c r="AH456" i="1"/>
  <c r="W456" i="1"/>
  <c r="T456" i="1"/>
  <c r="S456" i="1"/>
  <c r="X456" i="1" s="1"/>
  <c r="Y456" i="1" s="1"/>
  <c r="N456" i="1"/>
  <c r="M456" i="1"/>
  <c r="J456" i="1"/>
  <c r="W455" i="1"/>
  <c r="T455" i="1"/>
  <c r="S455" i="1"/>
  <c r="X455" i="1" s="1"/>
  <c r="Y455" i="1" s="1"/>
  <c r="N455" i="1"/>
  <c r="M455" i="1"/>
  <c r="W454" i="1"/>
  <c r="S454" i="1"/>
  <c r="N454" i="1"/>
  <c r="M454" i="1"/>
  <c r="AH453" i="1"/>
  <c r="W453" i="1"/>
  <c r="S453" i="1"/>
  <c r="M453" i="1"/>
  <c r="K453" i="1"/>
  <c r="N453" i="1" s="1"/>
  <c r="J453" i="1"/>
  <c r="AH452" i="1"/>
  <c r="AF452" i="1"/>
  <c r="X452" i="1"/>
  <c r="Y452" i="1" s="1"/>
  <c r="W452" i="1"/>
  <c r="T452" i="1"/>
  <c r="S452" i="1"/>
  <c r="M452" i="1"/>
  <c r="K452" i="1"/>
  <c r="N452" i="1" s="1"/>
  <c r="J452" i="1"/>
  <c r="AH451" i="1"/>
  <c r="X451" i="1"/>
  <c r="Y451" i="1" s="1"/>
  <c r="W451" i="1"/>
  <c r="S451" i="1"/>
  <c r="T451" i="1" s="1"/>
  <c r="N451" i="1"/>
  <c r="M451" i="1"/>
  <c r="AH450" i="1"/>
  <c r="X450" i="1"/>
  <c r="Y450" i="1" s="1"/>
  <c r="W450" i="1"/>
  <c r="S450" i="1"/>
  <c r="T450" i="1" s="1"/>
  <c r="N450" i="1"/>
  <c r="M450" i="1"/>
  <c r="AH449" i="1"/>
  <c r="X449" i="1"/>
  <c r="Y449" i="1" s="1"/>
  <c r="W449" i="1"/>
  <c r="S449" i="1"/>
  <c r="T449" i="1" s="1"/>
  <c r="N449" i="1"/>
  <c r="M449" i="1"/>
  <c r="AH448" i="1"/>
  <c r="AF448" i="1"/>
  <c r="V448" i="1"/>
  <c r="W448" i="1" s="1"/>
  <c r="X448" i="1" s="1"/>
  <c r="Y448" i="1" s="1"/>
  <c r="T448" i="1"/>
  <c r="S448" i="1"/>
  <c r="N448" i="1"/>
  <c r="M448" i="1"/>
  <c r="K448" i="1"/>
  <c r="AH447" i="1"/>
  <c r="W447" i="1"/>
  <c r="S447" i="1"/>
  <c r="N447" i="1"/>
  <c r="M447" i="1"/>
  <c r="AH446" i="1"/>
  <c r="W446" i="1"/>
  <c r="S446" i="1"/>
  <c r="Q446" i="1"/>
  <c r="N446" i="1"/>
  <c r="M446" i="1"/>
  <c r="AH445" i="1"/>
  <c r="W445" i="1"/>
  <c r="T445" i="1"/>
  <c r="S445" i="1"/>
  <c r="X445" i="1" s="1"/>
  <c r="Y445" i="1" s="1"/>
  <c r="N445" i="1"/>
  <c r="M445" i="1"/>
  <c r="J445" i="1"/>
  <c r="V444" i="1"/>
  <c r="W444" i="1" s="1"/>
  <c r="S444" i="1"/>
  <c r="T444" i="1" s="1"/>
  <c r="N444" i="1"/>
  <c r="M444" i="1"/>
  <c r="V443" i="1"/>
  <c r="W443" i="1" s="1"/>
  <c r="S443" i="1"/>
  <c r="T443" i="1" s="1"/>
  <c r="N443" i="1"/>
  <c r="M443" i="1"/>
  <c r="AH442" i="1"/>
  <c r="W442" i="1"/>
  <c r="S442" i="1"/>
  <c r="T442" i="1" s="1"/>
  <c r="N442" i="1"/>
  <c r="M442" i="1"/>
  <c r="K442" i="1"/>
  <c r="J442" i="1"/>
  <c r="AH441" i="1"/>
  <c r="Y441" i="1"/>
  <c r="W441" i="1"/>
  <c r="X441" i="1" s="1"/>
  <c r="T441" i="1"/>
  <c r="S441" i="1"/>
  <c r="N441" i="1"/>
  <c r="M441" i="1"/>
  <c r="J441" i="1"/>
  <c r="AH440" i="1"/>
  <c r="AF440" i="1"/>
  <c r="Y440" i="1"/>
  <c r="X440" i="1"/>
  <c r="W440" i="1"/>
  <c r="S440" i="1"/>
  <c r="T440" i="1" s="1"/>
  <c r="N440" i="1"/>
  <c r="M440" i="1"/>
  <c r="J440" i="1"/>
  <c r="AH439" i="1"/>
  <c r="W439" i="1"/>
  <c r="T439" i="1"/>
  <c r="S439" i="1"/>
  <c r="X439" i="1" s="1"/>
  <c r="Y439" i="1" s="1"/>
  <c r="N439" i="1"/>
  <c r="M439" i="1"/>
  <c r="J439" i="1"/>
  <c r="AH438" i="1"/>
  <c r="W438" i="1"/>
  <c r="S438" i="1"/>
  <c r="N438" i="1"/>
  <c r="M438" i="1"/>
  <c r="J438" i="1"/>
  <c r="AH437" i="1"/>
  <c r="W437" i="1"/>
  <c r="T437" i="1"/>
  <c r="S437" i="1"/>
  <c r="X437" i="1" s="1"/>
  <c r="Y437" i="1" s="1"/>
  <c r="N437" i="1"/>
  <c r="M437" i="1"/>
  <c r="J437" i="1"/>
  <c r="AH436" i="1"/>
  <c r="W436" i="1"/>
  <c r="S436" i="1"/>
  <c r="T436" i="1" s="1"/>
  <c r="N436" i="1"/>
  <c r="M436" i="1"/>
  <c r="AH435" i="1"/>
  <c r="W435" i="1"/>
  <c r="S435" i="1"/>
  <c r="T435" i="1" s="1"/>
  <c r="Q435" i="1"/>
  <c r="N435" i="1"/>
  <c r="M435" i="1"/>
  <c r="AH434" i="1"/>
  <c r="X434" i="1"/>
  <c r="Y434" i="1" s="1"/>
  <c r="W434" i="1"/>
  <c r="T434" i="1"/>
  <c r="S434" i="1"/>
  <c r="M434" i="1"/>
  <c r="K434" i="1"/>
  <c r="N434" i="1" s="1"/>
  <c r="J434" i="1"/>
  <c r="AH433" i="1"/>
  <c r="X433" i="1"/>
  <c r="Y433" i="1" s="1"/>
  <c r="W433" i="1"/>
  <c r="S433" i="1"/>
  <c r="T433" i="1" s="1"/>
  <c r="M433" i="1"/>
  <c r="K433" i="1"/>
  <c r="N433" i="1" s="1"/>
  <c r="J433" i="1"/>
  <c r="AH432" i="1"/>
  <c r="W432" i="1"/>
  <c r="T432" i="1"/>
  <c r="S432" i="1"/>
  <c r="X432" i="1" s="1"/>
  <c r="Y432" i="1" s="1"/>
  <c r="N432" i="1"/>
  <c r="M432" i="1"/>
  <c r="AH431" i="1"/>
  <c r="W431" i="1"/>
  <c r="T431" i="1"/>
  <c r="S431" i="1"/>
  <c r="X431" i="1" s="1"/>
  <c r="Y431" i="1" s="1"/>
  <c r="N431" i="1"/>
  <c r="M431" i="1"/>
  <c r="AH430" i="1"/>
  <c r="W430" i="1"/>
  <c r="T430" i="1"/>
  <c r="S430" i="1"/>
  <c r="X430" i="1" s="1"/>
  <c r="Y430" i="1" s="1"/>
  <c r="N430" i="1"/>
  <c r="M430" i="1"/>
  <c r="J430" i="1"/>
  <c r="AH429" i="1"/>
  <c r="W429" i="1"/>
  <c r="S429" i="1"/>
  <c r="N429" i="1"/>
  <c r="M429" i="1"/>
  <c r="AH428" i="1"/>
  <c r="W428" i="1"/>
  <c r="S428" i="1"/>
  <c r="N428" i="1"/>
  <c r="M428" i="1"/>
  <c r="J428" i="1"/>
  <c r="AH427" i="1"/>
  <c r="W427" i="1"/>
  <c r="T427" i="1"/>
  <c r="S427" i="1"/>
  <c r="X427" i="1" s="1"/>
  <c r="Y427" i="1" s="1"/>
  <c r="N427" i="1"/>
  <c r="M427" i="1"/>
  <c r="J427" i="1"/>
  <c r="AH426" i="1"/>
  <c r="AF426" i="1"/>
  <c r="X426" i="1"/>
  <c r="Y426" i="1" s="1"/>
  <c r="W426" i="1"/>
  <c r="T426" i="1"/>
  <c r="S426" i="1"/>
  <c r="M426" i="1"/>
  <c r="K426" i="1"/>
  <c r="N426" i="1" s="1"/>
  <c r="J426" i="1"/>
  <c r="AH425" i="1"/>
  <c r="X425" i="1"/>
  <c r="Y425" i="1" s="1"/>
  <c r="W425" i="1"/>
  <c r="S425" i="1"/>
  <c r="T425" i="1" s="1"/>
  <c r="N425" i="1"/>
  <c r="M425" i="1"/>
  <c r="AH424" i="1"/>
  <c r="X424" i="1"/>
  <c r="Y424" i="1" s="1"/>
  <c r="W424" i="1"/>
  <c r="S424" i="1"/>
  <c r="T424" i="1" s="1"/>
  <c r="N424" i="1"/>
  <c r="M424" i="1"/>
  <c r="J424" i="1"/>
  <c r="AH423" i="1"/>
  <c r="Y423" i="1"/>
  <c r="X423" i="1"/>
  <c r="W423" i="1"/>
  <c r="S423" i="1"/>
  <c r="T423" i="1" s="1"/>
  <c r="N423" i="1"/>
  <c r="M423" i="1"/>
  <c r="AH422" i="1"/>
  <c r="Y422" i="1"/>
  <c r="X422" i="1"/>
  <c r="W422" i="1"/>
  <c r="S422" i="1"/>
  <c r="T422" i="1" s="1"/>
  <c r="N422" i="1"/>
  <c r="M422" i="1"/>
  <c r="J422" i="1"/>
  <c r="AH421" i="1"/>
  <c r="W421" i="1"/>
  <c r="T421" i="1"/>
  <c r="S421" i="1"/>
  <c r="X421" i="1" s="1"/>
  <c r="Y421" i="1" s="1"/>
  <c r="N421" i="1"/>
  <c r="M421" i="1"/>
  <c r="AH420" i="1"/>
  <c r="W420" i="1"/>
  <c r="T420" i="1"/>
  <c r="S420" i="1"/>
  <c r="X420" i="1" s="1"/>
  <c r="Y420" i="1" s="1"/>
  <c r="N420" i="1"/>
  <c r="M420" i="1"/>
  <c r="AH419" i="1"/>
  <c r="W419" i="1"/>
  <c r="Q419" i="1"/>
  <c r="S419" i="1" s="1"/>
  <c r="N419" i="1"/>
  <c r="M419" i="1"/>
  <c r="J419" i="1"/>
  <c r="AH418" i="1"/>
  <c r="W418" i="1"/>
  <c r="T418" i="1"/>
  <c r="S418" i="1"/>
  <c r="X418" i="1" s="1"/>
  <c r="Y418" i="1" s="1"/>
  <c r="N418" i="1"/>
  <c r="M418" i="1"/>
  <c r="J418" i="1"/>
  <c r="AH417" i="1"/>
  <c r="AF417" i="1"/>
  <c r="X417" i="1"/>
  <c r="Y417" i="1" s="1"/>
  <c r="W417" i="1"/>
  <c r="T417" i="1"/>
  <c r="S417" i="1"/>
  <c r="N417" i="1"/>
  <c r="M417" i="1"/>
  <c r="J417" i="1"/>
  <c r="AH416" i="1"/>
  <c r="W416" i="1"/>
  <c r="X416" i="1" s="1"/>
  <c r="Y416" i="1" s="1"/>
  <c r="T416" i="1"/>
  <c r="S416" i="1"/>
  <c r="M416" i="1"/>
  <c r="J416" i="1"/>
  <c r="K416" i="1" s="1"/>
  <c r="N416" i="1" s="1"/>
  <c r="AH415" i="1"/>
  <c r="Y415" i="1"/>
  <c r="X415" i="1"/>
  <c r="W415" i="1"/>
  <c r="S415" i="1"/>
  <c r="T415" i="1" s="1"/>
  <c r="M415" i="1"/>
  <c r="J415" i="1"/>
  <c r="K415" i="1" s="1"/>
  <c r="N415" i="1" s="1"/>
  <c r="AH414" i="1"/>
  <c r="W414" i="1"/>
  <c r="S414" i="1"/>
  <c r="N414" i="1"/>
  <c r="M414" i="1"/>
  <c r="J414" i="1"/>
  <c r="AH413" i="1"/>
  <c r="W413" i="1"/>
  <c r="T413" i="1"/>
  <c r="S413" i="1"/>
  <c r="X413" i="1" s="1"/>
  <c r="Y413" i="1" s="1"/>
  <c r="N413" i="1"/>
  <c r="M413" i="1"/>
  <c r="AH412" i="1"/>
  <c r="W412" i="1"/>
  <c r="T412" i="1"/>
  <c r="S412" i="1"/>
  <c r="X412" i="1" s="1"/>
  <c r="Y412" i="1" s="1"/>
  <c r="N412" i="1"/>
  <c r="M412" i="1"/>
  <c r="J412" i="1"/>
  <c r="W411" i="1"/>
  <c r="T411" i="1"/>
  <c r="S411" i="1"/>
  <c r="X411" i="1" s="1"/>
  <c r="Y411" i="1" s="1"/>
  <c r="N411" i="1"/>
  <c r="M411" i="1"/>
  <c r="K411" i="1"/>
  <c r="AH410" i="1"/>
  <c r="AF410" i="1"/>
  <c r="X410" i="1"/>
  <c r="Y410" i="1" s="1"/>
  <c r="W410" i="1"/>
  <c r="T410" i="1"/>
  <c r="S410" i="1"/>
  <c r="M410" i="1"/>
  <c r="K410" i="1"/>
  <c r="N410" i="1" s="1"/>
  <c r="J410" i="1"/>
  <c r="Y409" i="1"/>
  <c r="W409" i="1"/>
  <c r="X409" i="1" s="1"/>
  <c r="T409" i="1"/>
  <c r="S409" i="1"/>
  <c r="N409" i="1"/>
  <c r="M409" i="1"/>
  <c r="X408" i="1"/>
  <c r="Y408" i="1" s="1"/>
  <c r="W408" i="1"/>
  <c r="T408" i="1"/>
  <c r="S408" i="1"/>
  <c r="N408" i="1"/>
  <c r="M408" i="1"/>
  <c r="W407" i="1"/>
  <c r="U407" i="1"/>
  <c r="T407" i="1"/>
  <c r="S407" i="1"/>
  <c r="N407" i="1"/>
  <c r="M407" i="1"/>
  <c r="W406" i="1"/>
  <c r="S406" i="1"/>
  <c r="N406" i="1"/>
  <c r="M406" i="1"/>
  <c r="W405" i="1"/>
  <c r="T405" i="1"/>
  <c r="S405" i="1"/>
  <c r="X405" i="1" s="1"/>
  <c r="Y405" i="1" s="1"/>
  <c r="N405" i="1"/>
  <c r="M405" i="1"/>
  <c r="W404" i="1"/>
  <c r="S404" i="1"/>
  <c r="M404" i="1"/>
  <c r="K404" i="1"/>
  <c r="N404" i="1" s="1"/>
  <c r="W403" i="1"/>
  <c r="S403" i="1"/>
  <c r="N403" i="1"/>
  <c r="M403" i="1"/>
  <c r="AH402" i="1"/>
  <c r="AF402" i="1"/>
  <c r="W402" i="1"/>
  <c r="T402" i="1"/>
  <c r="S402" i="1"/>
  <c r="X402" i="1" s="1"/>
  <c r="Y402" i="1" s="1"/>
  <c r="N402" i="1"/>
  <c r="M402" i="1"/>
  <c r="AH401" i="1"/>
  <c r="AF401" i="1"/>
  <c r="W401" i="1"/>
  <c r="S401" i="1"/>
  <c r="N401" i="1"/>
  <c r="M401" i="1"/>
  <c r="W400" i="1"/>
  <c r="T400" i="1"/>
  <c r="S400" i="1"/>
  <c r="X400" i="1" s="1"/>
  <c r="Y400" i="1" s="1"/>
  <c r="N400" i="1"/>
  <c r="M400" i="1"/>
  <c r="AH399" i="1"/>
  <c r="W399" i="1"/>
  <c r="T399" i="1"/>
  <c r="S399" i="1"/>
  <c r="X399" i="1" s="1"/>
  <c r="Y399" i="1" s="1"/>
  <c r="N399" i="1"/>
  <c r="M399" i="1"/>
  <c r="K399" i="1"/>
  <c r="J399" i="1"/>
  <c r="AH398" i="1"/>
  <c r="X398" i="1"/>
  <c r="Y398" i="1" s="1"/>
  <c r="W398" i="1"/>
  <c r="T398" i="1"/>
  <c r="S398" i="1"/>
  <c r="M398" i="1"/>
  <c r="K398" i="1"/>
  <c r="N398" i="1" s="1"/>
  <c r="J398" i="1"/>
  <c r="AH397" i="1"/>
  <c r="X397" i="1"/>
  <c r="Y397" i="1" s="1"/>
  <c r="W397" i="1"/>
  <c r="S397" i="1"/>
  <c r="T397" i="1" s="1"/>
  <c r="N397" i="1"/>
  <c r="M397" i="1"/>
  <c r="AH396" i="1"/>
  <c r="AF396" i="1"/>
  <c r="X396" i="1"/>
  <c r="Y396" i="1" s="1"/>
  <c r="W396" i="1"/>
  <c r="S396" i="1"/>
  <c r="T396" i="1" s="1"/>
  <c r="M396" i="1"/>
  <c r="J396" i="1"/>
  <c r="K396" i="1" s="1"/>
  <c r="N396" i="1" s="1"/>
  <c r="AH395" i="1"/>
  <c r="W395" i="1"/>
  <c r="S395" i="1"/>
  <c r="N395" i="1"/>
  <c r="M395" i="1"/>
  <c r="J395" i="1"/>
  <c r="AH394" i="1"/>
  <c r="W394" i="1"/>
  <c r="T394" i="1"/>
  <c r="S394" i="1"/>
  <c r="X394" i="1" s="1"/>
  <c r="Y394" i="1" s="1"/>
  <c r="N394" i="1"/>
  <c r="M394" i="1"/>
  <c r="J394" i="1"/>
  <c r="AH393" i="1"/>
  <c r="AF393" i="1"/>
  <c r="X393" i="1"/>
  <c r="Y393" i="1" s="1"/>
  <c r="W393" i="1"/>
  <c r="T393" i="1"/>
  <c r="S393" i="1"/>
  <c r="M393" i="1"/>
  <c r="K393" i="1"/>
  <c r="N393" i="1" s="1"/>
  <c r="J393" i="1"/>
  <c r="AH392" i="1"/>
  <c r="X392" i="1"/>
  <c r="Y392" i="1" s="1"/>
  <c r="W392" i="1"/>
  <c r="S392" i="1"/>
  <c r="T392" i="1" s="1"/>
  <c r="N392" i="1"/>
  <c r="M392" i="1"/>
  <c r="AH391" i="1"/>
  <c r="AF391" i="1"/>
  <c r="X391" i="1"/>
  <c r="Y391" i="1" s="1"/>
  <c r="W391" i="1"/>
  <c r="S391" i="1"/>
  <c r="T391" i="1" s="1"/>
  <c r="N391" i="1"/>
  <c r="M391" i="1"/>
  <c r="J391" i="1"/>
  <c r="AH390" i="1"/>
  <c r="V390" i="1"/>
  <c r="W390" i="1" s="1"/>
  <c r="S390" i="1"/>
  <c r="N390" i="1"/>
  <c r="M390" i="1"/>
  <c r="J390" i="1"/>
  <c r="AH389" i="1"/>
  <c r="AF389" i="1"/>
  <c r="W389" i="1"/>
  <c r="S389" i="1"/>
  <c r="N389" i="1"/>
  <c r="M389" i="1"/>
  <c r="J389" i="1"/>
  <c r="AH388" i="1"/>
  <c r="W388" i="1"/>
  <c r="S388" i="1"/>
  <c r="N388" i="1"/>
  <c r="M388" i="1"/>
  <c r="AH387" i="1"/>
  <c r="X387" i="1"/>
  <c r="Y387" i="1" s="1"/>
  <c r="W387" i="1"/>
  <c r="T387" i="1"/>
  <c r="S387" i="1"/>
  <c r="N387" i="1"/>
  <c r="M387" i="1"/>
  <c r="AH386" i="1"/>
  <c r="AG386" i="1"/>
  <c r="Y386" i="1"/>
  <c r="W386" i="1"/>
  <c r="X386" i="1" s="1"/>
  <c r="T386" i="1"/>
  <c r="S386" i="1"/>
  <c r="N386" i="1"/>
  <c r="M386" i="1"/>
  <c r="J386" i="1"/>
  <c r="AH385" i="1"/>
  <c r="AF385" i="1"/>
  <c r="Y385" i="1"/>
  <c r="X385" i="1"/>
  <c r="W385" i="1"/>
  <c r="T385" i="1"/>
  <c r="S385" i="1"/>
  <c r="N385" i="1"/>
  <c r="M385" i="1"/>
  <c r="AH384" i="1"/>
  <c r="AF384" i="1"/>
  <c r="W384" i="1"/>
  <c r="T384" i="1"/>
  <c r="S384" i="1"/>
  <c r="X384" i="1" s="1"/>
  <c r="Y384" i="1" s="1"/>
  <c r="N384" i="1"/>
  <c r="M384" i="1"/>
  <c r="J384" i="1"/>
  <c r="AH383" i="1"/>
  <c r="AF383" i="1"/>
  <c r="W383" i="1"/>
  <c r="T383" i="1"/>
  <c r="S383" i="1"/>
  <c r="X383" i="1" s="1"/>
  <c r="Y383" i="1" s="1"/>
  <c r="N383" i="1"/>
  <c r="M383" i="1"/>
  <c r="W382" i="1"/>
  <c r="S382" i="1"/>
  <c r="Q382" i="1"/>
  <c r="N382" i="1"/>
  <c r="M382" i="1"/>
  <c r="W381" i="1"/>
  <c r="S381" i="1"/>
  <c r="N381" i="1"/>
  <c r="M381" i="1"/>
  <c r="W380" i="1"/>
  <c r="T380" i="1"/>
  <c r="S380" i="1"/>
  <c r="X380" i="1" s="1"/>
  <c r="Y380" i="1" s="1"/>
  <c r="N380" i="1"/>
  <c r="M380" i="1"/>
  <c r="X379" i="1"/>
  <c r="Y379" i="1" s="1"/>
  <c r="W379" i="1"/>
  <c r="T379" i="1"/>
  <c r="S379" i="1"/>
  <c r="Q379" i="1"/>
  <c r="N379" i="1"/>
  <c r="M379" i="1"/>
  <c r="AH378" i="1"/>
  <c r="AA378" i="1"/>
  <c r="W378" i="1"/>
  <c r="S378" i="1"/>
  <c r="N378" i="1"/>
  <c r="M378" i="1"/>
  <c r="J378" i="1"/>
  <c r="W377" i="1"/>
  <c r="Q377" i="1"/>
  <c r="Q376" i="1" s="1"/>
  <c r="N377" i="1"/>
  <c r="M377" i="1"/>
  <c r="W376" i="1"/>
  <c r="S376" i="1"/>
  <c r="N376" i="1"/>
  <c r="M376" i="1"/>
  <c r="W375" i="1"/>
  <c r="S375" i="1"/>
  <c r="N375" i="1"/>
  <c r="M375" i="1"/>
  <c r="W374" i="1"/>
  <c r="Q374" i="1"/>
  <c r="S374" i="1" s="1"/>
  <c r="N374" i="1"/>
  <c r="M374" i="1"/>
  <c r="J374" i="1"/>
  <c r="W373" i="1"/>
  <c r="S373" i="1"/>
  <c r="N373" i="1"/>
  <c r="M373" i="1"/>
  <c r="W372" i="1"/>
  <c r="Q372" i="1"/>
  <c r="S372" i="1" s="1"/>
  <c r="N372" i="1"/>
  <c r="M372" i="1"/>
  <c r="J372" i="1"/>
  <c r="AH371" i="1"/>
  <c r="AF371" i="1"/>
  <c r="W371" i="1"/>
  <c r="S371" i="1"/>
  <c r="X371" i="1" s="1"/>
  <c r="Y371" i="1" s="1"/>
  <c r="N371" i="1"/>
  <c r="M371" i="1"/>
  <c r="AH370" i="1"/>
  <c r="W370" i="1"/>
  <c r="S370" i="1"/>
  <c r="N370" i="1"/>
  <c r="M370" i="1"/>
  <c r="J370" i="1"/>
  <c r="AH369" i="1"/>
  <c r="W369" i="1"/>
  <c r="S369" i="1"/>
  <c r="T369" i="1" s="1"/>
  <c r="N369" i="1"/>
  <c r="M369" i="1"/>
  <c r="AH368" i="1"/>
  <c r="W368" i="1"/>
  <c r="T368" i="1"/>
  <c r="S368" i="1"/>
  <c r="X368" i="1" s="1"/>
  <c r="Y368" i="1" s="1"/>
  <c r="M368" i="1"/>
  <c r="K368" i="1"/>
  <c r="N368" i="1" s="1"/>
  <c r="J368" i="1"/>
  <c r="AH367" i="1"/>
  <c r="AF367" i="1"/>
  <c r="X367" i="1"/>
  <c r="Y367" i="1" s="1"/>
  <c r="W367" i="1"/>
  <c r="T367" i="1"/>
  <c r="S367" i="1"/>
  <c r="M367" i="1"/>
  <c r="K367" i="1"/>
  <c r="N367" i="1" s="1"/>
  <c r="J367" i="1"/>
  <c r="AH366" i="1"/>
  <c r="W366" i="1"/>
  <c r="S366" i="1"/>
  <c r="N366" i="1"/>
  <c r="M366" i="1"/>
  <c r="J366" i="1"/>
  <c r="W365" i="1"/>
  <c r="S365" i="1"/>
  <c r="N365" i="1"/>
  <c r="M365" i="1"/>
  <c r="W364" i="1"/>
  <c r="Q364" i="1"/>
  <c r="S364" i="1" s="1"/>
  <c r="N364" i="1"/>
  <c r="M364" i="1"/>
  <c r="J364" i="1"/>
  <c r="W363" i="1"/>
  <c r="S363" i="1"/>
  <c r="N363" i="1"/>
  <c r="M363" i="1"/>
  <c r="K363" i="1"/>
  <c r="J363" i="1"/>
  <c r="W362" i="1"/>
  <c r="S362" i="1"/>
  <c r="X362" i="1" s="1"/>
  <c r="Y362" i="1" s="1"/>
  <c r="N362" i="1"/>
  <c r="M362" i="1"/>
  <c r="J362" i="1"/>
  <c r="K362" i="1" s="1"/>
  <c r="W361" i="1"/>
  <c r="T361" i="1"/>
  <c r="S361" i="1"/>
  <c r="X361" i="1" s="1"/>
  <c r="Y361" i="1" s="1"/>
  <c r="N361" i="1"/>
  <c r="M361" i="1"/>
  <c r="U360" i="1"/>
  <c r="W360" i="1" s="1"/>
  <c r="S360" i="1"/>
  <c r="Q360" i="1"/>
  <c r="N360" i="1"/>
  <c r="M360" i="1"/>
  <c r="J360" i="1"/>
  <c r="W359" i="1"/>
  <c r="S359" i="1"/>
  <c r="T359" i="1" s="1"/>
  <c r="N359" i="1"/>
  <c r="M359" i="1"/>
  <c r="J359" i="1"/>
  <c r="W358" i="1"/>
  <c r="T358" i="1"/>
  <c r="S358" i="1"/>
  <c r="X358" i="1" s="1"/>
  <c r="Y358" i="1" s="1"/>
  <c r="N358" i="1"/>
  <c r="M358" i="1"/>
  <c r="J358" i="1"/>
  <c r="W357" i="1"/>
  <c r="S357" i="1"/>
  <c r="N357" i="1"/>
  <c r="M357" i="1"/>
  <c r="W356" i="1"/>
  <c r="T356" i="1"/>
  <c r="S356" i="1"/>
  <c r="X356" i="1" s="1"/>
  <c r="Y356" i="1" s="1"/>
  <c r="Q356" i="1"/>
  <c r="N356" i="1"/>
  <c r="M356" i="1"/>
  <c r="W355" i="1"/>
  <c r="T355" i="1"/>
  <c r="S355" i="1"/>
  <c r="N355" i="1"/>
  <c r="M355" i="1"/>
  <c r="W354" i="1"/>
  <c r="T354" i="1"/>
  <c r="Q354" i="1"/>
  <c r="S354" i="1" s="1"/>
  <c r="X354" i="1" s="1"/>
  <c r="Y354" i="1" s="1"/>
  <c r="N354" i="1"/>
  <c r="M354" i="1"/>
  <c r="J354" i="1"/>
  <c r="W353" i="1"/>
  <c r="S353" i="1"/>
  <c r="N353" i="1"/>
  <c r="M353" i="1"/>
  <c r="Y352" i="1"/>
  <c r="W352" i="1"/>
  <c r="T352" i="1"/>
  <c r="S352" i="1"/>
  <c r="X352" i="1" s="1"/>
  <c r="Q352" i="1"/>
  <c r="N352" i="1"/>
  <c r="M352" i="1"/>
  <c r="Y351" i="1"/>
  <c r="W351" i="1"/>
  <c r="T351" i="1"/>
  <c r="S351" i="1"/>
  <c r="X351" i="1" s="1"/>
  <c r="N351" i="1"/>
  <c r="M351" i="1"/>
  <c r="X350" i="1"/>
  <c r="Y350" i="1" s="1"/>
  <c r="W350" i="1"/>
  <c r="S350" i="1"/>
  <c r="T350" i="1" s="1"/>
  <c r="Q350" i="1"/>
  <c r="N350" i="1"/>
  <c r="M350" i="1"/>
  <c r="J350" i="1"/>
  <c r="W349" i="1"/>
  <c r="S349" i="1"/>
  <c r="X349" i="1" s="1"/>
  <c r="Y349" i="1" s="1"/>
  <c r="N349" i="1"/>
  <c r="M349" i="1"/>
  <c r="W348" i="1"/>
  <c r="S348" i="1"/>
  <c r="Q348" i="1"/>
  <c r="M348" i="1"/>
  <c r="K348" i="1"/>
  <c r="N348" i="1" s="1"/>
  <c r="W347" i="1"/>
  <c r="S347" i="1"/>
  <c r="N347" i="1"/>
  <c r="M347" i="1"/>
  <c r="X346" i="1"/>
  <c r="Y346" i="1" s="1"/>
  <c r="W346" i="1"/>
  <c r="S346" i="1"/>
  <c r="T346" i="1" s="1"/>
  <c r="Q346" i="1"/>
  <c r="N346" i="1"/>
  <c r="M346" i="1"/>
  <c r="AH345" i="1"/>
  <c r="Y345" i="1"/>
  <c r="W345" i="1"/>
  <c r="T345" i="1"/>
  <c r="S345" i="1"/>
  <c r="X345" i="1" s="1"/>
  <c r="N345" i="1"/>
  <c r="M345" i="1"/>
  <c r="J345" i="1"/>
  <c r="AH344" i="1"/>
  <c r="AF344" i="1"/>
  <c r="X344" i="1"/>
  <c r="Y344" i="1" s="1"/>
  <c r="W344" i="1"/>
  <c r="S344" i="1"/>
  <c r="T344" i="1" s="1"/>
  <c r="N344" i="1"/>
  <c r="M344" i="1"/>
  <c r="J344" i="1"/>
  <c r="AH343" i="1"/>
  <c r="AF343" i="1"/>
  <c r="V343" i="1"/>
  <c r="W343" i="1" s="1"/>
  <c r="X343" i="1" s="1"/>
  <c r="Y343" i="1" s="1"/>
  <c r="T343" i="1"/>
  <c r="S343" i="1"/>
  <c r="N343" i="1"/>
  <c r="M343" i="1"/>
  <c r="J343" i="1"/>
  <c r="AH342" i="1"/>
  <c r="X342" i="1"/>
  <c r="Y342" i="1" s="1"/>
  <c r="W342" i="1"/>
  <c r="T342" i="1"/>
  <c r="S342" i="1"/>
  <c r="N342" i="1"/>
  <c r="M342" i="1"/>
  <c r="J342" i="1"/>
  <c r="AH341" i="1"/>
  <c r="Y341" i="1"/>
  <c r="X341" i="1"/>
  <c r="W341" i="1"/>
  <c r="S341" i="1"/>
  <c r="T341" i="1" s="1"/>
  <c r="N341" i="1"/>
  <c r="M341" i="1"/>
  <c r="AH340" i="1"/>
  <c r="X340" i="1"/>
  <c r="Y340" i="1" s="1"/>
  <c r="W340" i="1"/>
  <c r="S340" i="1"/>
  <c r="T340" i="1" s="1"/>
  <c r="M340" i="1"/>
  <c r="K340" i="1"/>
  <c r="N340" i="1" s="1"/>
  <c r="J340" i="1"/>
  <c r="AH339" i="1"/>
  <c r="W339" i="1"/>
  <c r="S339" i="1"/>
  <c r="N339" i="1"/>
  <c r="M339" i="1"/>
  <c r="J339" i="1"/>
  <c r="W338" i="1"/>
  <c r="S338" i="1"/>
  <c r="N338" i="1"/>
  <c r="M338" i="1"/>
  <c r="AH337" i="1"/>
  <c r="W337" i="1"/>
  <c r="V337" i="1"/>
  <c r="Q337" i="1"/>
  <c r="S337" i="1" s="1"/>
  <c r="N337" i="1"/>
  <c r="M337" i="1"/>
  <c r="J337" i="1"/>
  <c r="AH336" i="1"/>
  <c r="AF336" i="1"/>
  <c r="W336" i="1"/>
  <c r="X336" i="1" s="1"/>
  <c r="Y336" i="1" s="1"/>
  <c r="T336" i="1"/>
  <c r="S336" i="1"/>
  <c r="N336" i="1"/>
  <c r="M336" i="1"/>
  <c r="J336" i="1"/>
  <c r="AH335" i="1"/>
  <c r="AF335" i="1"/>
  <c r="Y335" i="1"/>
  <c r="X335" i="1"/>
  <c r="W335" i="1"/>
  <c r="S335" i="1"/>
  <c r="T335" i="1" s="1"/>
  <c r="N335" i="1"/>
  <c r="M335" i="1"/>
  <c r="AH334" i="1"/>
  <c r="X334" i="1"/>
  <c r="Y334" i="1" s="1"/>
  <c r="W334" i="1"/>
  <c r="S334" i="1"/>
  <c r="T334" i="1" s="1"/>
  <c r="M334" i="1"/>
  <c r="K334" i="1"/>
  <c r="N334" i="1" s="1"/>
  <c r="J334" i="1"/>
  <c r="AH333" i="1"/>
  <c r="W333" i="1"/>
  <c r="S333" i="1"/>
  <c r="N333" i="1"/>
  <c r="M333" i="1"/>
  <c r="V332" i="1"/>
  <c r="W332" i="1" s="1"/>
  <c r="S332" i="1"/>
  <c r="N332" i="1"/>
  <c r="M332" i="1"/>
  <c r="V331" i="1"/>
  <c r="W331" i="1" s="1"/>
  <c r="T331" i="1"/>
  <c r="S331" i="1"/>
  <c r="N331" i="1"/>
  <c r="M331" i="1"/>
  <c r="AA330" i="1"/>
  <c r="W330" i="1"/>
  <c r="V330" i="1"/>
  <c r="T330" i="1"/>
  <c r="S330" i="1"/>
  <c r="N330" i="1"/>
  <c r="M330" i="1"/>
  <c r="W329" i="1"/>
  <c r="V329" i="1"/>
  <c r="T329" i="1"/>
  <c r="S329" i="1"/>
  <c r="N329" i="1"/>
  <c r="M329" i="1"/>
  <c r="AH328" i="1"/>
  <c r="W328" i="1"/>
  <c r="S328" i="1"/>
  <c r="T328" i="1" s="1"/>
  <c r="N328" i="1"/>
  <c r="M328" i="1"/>
  <c r="AH327" i="1"/>
  <c r="W327" i="1"/>
  <c r="T327" i="1"/>
  <c r="S327" i="1"/>
  <c r="X327" i="1" s="1"/>
  <c r="Y327" i="1" s="1"/>
  <c r="N327" i="1"/>
  <c r="M327" i="1"/>
  <c r="J327" i="1"/>
  <c r="AH326" i="1"/>
  <c r="W326" i="1"/>
  <c r="S326" i="1"/>
  <c r="T326" i="1" s="1"/>
  <c r="N326" i="1"/>
  <c r="M326" i="1"/>
  <c r="AH325" i="1"/>
  <c r="W325" i="1"/>
  <c r="S325" i="1"/>
  <c r="T325" i="1" s="1"/>
  <c r="N325" i="1"/>
  <c r="M325" i="1"/>
  <c r="J325" i="1"/>
  <c r="AH324" i="1"/>
  <c r="X324" i="1"/>
  <c r="Y324" i="1" s="1"/>
  <c r="W324" i="1"/>
  <c r="T324" i="1"/>
  <c r="S324" i="1"/>
  <c r="N324" i="1"/>
  <c r="M324" i="1"/>
  <c r="J324" i="1"/>
  <c r="AH323" i="1"/>
  <c r="W323" i="1"/>
  <c r="S323" i="1"/>
  <c r="X323" i="1" s="1"/>
  <c r="Y323" i="1" s="1"/>
  <c r="N323" i="1"/>
  <c r="M323" i="1"/>
  <c r="AH322" i="1"/>
  <c r="W322" i="1"/>
  <c r="S322" i="1"/>
  <c r="X322" i="1" s="1"/>
  <c r="Y322" i="1" s="1"/>
  <c r="N322" i="1"/>
  <c r="M322" i="1"/>
  <c r="AH321" i="1"/>
  <c r="W321" i="1"/>
  <c r="S321" i="1"/>
  <c r="X321" i="1" s="1"/>
  <c r="Y321" i="1" s="1"/>
  <c r="N321" i="1"/>
  <c r="M321" i="1"/>
  <c r="AH320" i="1"/>
  <c r="Y320" i="1"/>
  <c r="W320" i="1"/>
  <c r="S320" i="1"/>
  <c r="X320" i="1" s="1"/>
  <c r="N320" i="1"/>
  <c r="M320" i="1"/>
  <c r="J320" i="1"/>
  <c r="AH319" i="1"/>
  <c r="X319" i="1"/>
  <c r="Y319" i="1" s="1"/>
  <c r="W319" i="1"/>
  <c r="T319" i="1"/>
  <c r="S319" i="1"/>
  <c r="N319" i="1"/>
  <c r="M319" i="1"/>
  <c r="J319" i="1"/>
  <c r="AH318" i="1"/>
  <c r="AA318" i="1"/>
  <c r="X318" i="1"/>
  <c r="Y318" i="1" s="1"/>
  <c r="W318" i="1"/>
  <c r="T318" i="1"/>
  <c r="S318" i="1"/>
  <c r="N318" i="1"/>
  <c r="M318" i="1"/>
  <c r="K318" i="1"/>
  <c r="J318" i="1"/>
  <c r="AH317" i="1"/>
  <c r="AF317" i="1"/>
  <c r="W317" i="1"/>
  <c r="S317" i="1"/>
  <c r="T317" i="1" s="1"/>
  <c r="N317" i="1"/>
  <c r="M317" i="1"/>
  <c r="AH316" i="1"/>
  <c r="AF316" i="1"/>
  <c r="X316" i="1"/>
  <c r="Y316" i="1" s="1"/>
  <c r="W316" i="1"/>
  <c r="T316" i="1"/>
  <c r="S316" i="1"/>
  <c r="N316" i="1"/>
  <c r="M316" i="1"/>
  <c r="AH315" i="1"/>
  <c r="AF315" i="1"/>
  <c r="Y315" i="1"/>
  <c r="W315" i="1"/>
  <c r="S315" i="1"/>
  <c r="X315" i="1" s="1"/>
  <c r="N315" i="1"/>
  <c r="M315" i="1"/>
  <c r="AH314" i="1"/>
  <c r="AF314" i="1"/>
  <c r="X314" i="1"/>
  <c r="Y314" i="1" s="1"/>
  <c r="W314" i="1"/>
  <c r="T314" i="1"/>
  <c r="S314" i="1"/>
  <c r="N314" i="1"/>
  <c r="M314" i="1"/>
  <c r="AH313" i="1"/>
  <c r="X313" i="1"/>
  <c r="Y313" i="1" s="1"/>
  <c r="W313" i="1"/>
  <c r="T313" i="1"/>
  <c r="S313" i="1"/>
  <c r="N313" i="1"/>
  <c r="M313" i="1"/>
  <c r="J313" i="1"/>
  <c r="AH312" i="1"/>
  <c r="W312" i="1"/>
  <c r="X312" i="1" s="1"/>
  <c r="Y312" i="1" s="1"/>
  <c r="T312" i="1"/>
  <c r="S312" i="1"/>
  <c r="N312" i="1"/>
  <c r="M312" i="1"/>
  <c r="J312" i="1"/>
  <c r="AH311" i="1"/>
  <c r="X311" i="1"/>
  <c r="Y311" i="1" s="1"/>
  <c r="W311" i="1"/>
  <c r="T311" i="1"/>
  <c r="S311" i="1"/>
  <c r="N311" i="1"/>
  <c r="M311" i="1"/>
  <c r="AH310" i="1"/>
  <c r="X310" i="1"/>
  <c r="Y310" i="1" s="1"/>
  <c r="W310" i="1"/>
  <c r="T310" i="1"/>
  <c r="S310" i="1"/>
  <c r="N310" i="1"/>
  <c r="M310" i="1"/>
  <c r="AH309" i="1"/>
  <c r="X309" i="1"/>
  <c r="Y309" i="1" s="1"/>
  <c r="W309" i="1"/>
  <c r="T309" i="1"/>
  <c r="S309" i="1"/>
  <c r="N309" i="1"/>
  <c r="M309" i="1"/>
  <c r="J309" i="1"/>
  <c r="AH308" i="1"/>
  <c r="W308" i="1"/>
  <c r="S308" i="1"/>
  <c r="N308" i="1"/>
  <c r="M308" i="1"/>
  <c r="J308" i="1"/>
  <c r="AH307" i="1"/>
  <c r="W307" i="1"/>
  <c r="T307" i="1"/>
  <c r="S307" i="1"/>
  <c r="X307" i="1" s="1"/>
  <c r="Y307" i="1" s="1"/>
  <c r="N307" i="1"/>
  <c r="M307" i="1"/>
  <c r="J307" i="1"/>
  <c r="AH306" i="1"/>
  <c r="W306" i="1"/>
  <c r="S306" i="1"/>
  <c r="T306" i="1" s="1"/>
  <c r="N306" i="1"/>
  <c r="M306" i="1"/>
  <c r="J306" i="1"/>
  <c r="AH305" i="1"/>
  <c r="X305" i="1"/>
  <c r="Y305" i="1" s="1"/>
  <c r="W305" i="1"/>
  <c r="T305" i="1"/>
  <c r="S305" i="1"/>
  <c r="N305" i="1"/>
  <c r="M305" i="1"/>
  <c r="AH304" i="1"/>
  <c r="X304" i="1"/>
  <c r="Y304" i="1" s="1"/>
  <c r="W304" i="1"/>
  <c r="T304" i="1"/>
  <c r="S304" i="1"/>
  <c r="N304" i="1"/>
  <c r="M304" i="1"/>
  <c r="K304" i="1"/>
  <c r="AH303" i="1"/>
  <c r="Y303" i="1"/>
  <c r="W303" i="1"/>
  <c r="S303" i="1"/>
  <c r="X303" i="1" s="1"/>
  <c r="N303" i="1"/>
  <c r="M303" i="1"/>
  <c r="J303" i="1"/>
  <c r="AH302" i="1"/>
  <c r="X302" i="1"/>
  <c r="Y302" i="1" s="1"/>
  <c r="W302" i="1"/>
  <c r="T302" i="1"/>
  <c r="S302" i="1"/>
  <c r="Q302" i="1"/>
  <c r="N302" i="1"/>
  <c r="M302" i="1"/>
  <c r="J302" i="1"/>
  <c r="AH301" i="1"/>
  <c r="AF301" i="1"/>
  <c r="W301" i="1"/>
  <c r="S301" i="1"/>
  <c r="N301" i="1"/>
  <c r="M301" i="1"/>
  <c r="J301" i="1"/>
  <c r="AH300" i="1"/>
  <c r="W300" i="1"/>
  <c r="T300" i="1"/>
  <c r="S300" i="1"/>
  <c r="X300" i="1" s="1"/>
  <c r="Y300" i="1" s="1"/>
  <c r="N300" i="1"/>
  <c r="M300" i="1"/>
  <c r="W299" i="1"/>
  <c r="S299" i="1"/>
  <c r="N299" i="1"/>
  <c r="M299" i="1"/>
  <c r="W298" i="1"/>
  <c r="Q298" i="1"/>
  <c r="S298" i="1" s="1"/>
  <c r="N298" i="1"/>
  <c r="M298" i="1"/>
  <c r="J298" i="1"/>
  <c r="AH297" i="1"/>
  <c r="W297" i="1"/>
  <c r="T297" i="1"/>
  <c r="S297" i="1"/>
  <c r="X297" i="1" s="1"/>
  <c r="Y297" i="1" s="1"/>
  <c r="N297" i="1"/>
  <c r="M297" i="1"/>
  <c r="J297" i="1"/>
  <c r="AH296" i="1"/>
  <c r="W296" i="1"/>
  <c r="S296" i="1"/>
  <c r="T296" i="1" s="1"/>
  <c r="N296" i="1"/>
  <c r="M296" i="1"/>
  <c r="AH295" i="1"/>
  <c r="AA295" i="1"/>
  <c r="X295" i="1"/>
  <c r="Y295" i="1" s="1"/>
  <c r="W295" i="1"/>
  <c r="T295" i="1"/>
  <c r="S295" i="1"/>
  <c r="N295" i="1"/>
  <c r="M295" i="1"/>
  <c r="J295" i="1"/>
  <c r="AH294" i="1"/>
  <c r="Y294" i="1"/>
  <c r="W294" i="1"/>
  <c r="S294" i="1"/>
  <c r="X294" i="1" s="1"/>
  <c r="N294" i="1"/>
  <c r="M294" i="1"/>
  <c r="AH293" i="1"/>
  <c r="W293" i="1"/>
  <c r="S293" i="1"/>
  <c r="X293" i="1" s="1"/>
  <c r="Y293" i="1" s="1"/>
  <c r="N293" i="1"/>
  <c r="M293" i="1"/>
  <c r="AH292" i="1"/>
  <c r="W292" i="1"/>
  <c r="S292" i="1"/>
  <c r="X292" i="1" s="1"/>
  <c r="Y292" i="1" s="1"/>
  <c r="N292" i="1"/>
  <c r="M292" i="1"/>
  <c r="J292" i="1"/>
  <c r="AH291" i="1"/>
  <c r="X291" i="1"/>
  <c r="Y291" i="1" s="1"/>
  <c r="W291" i="1"/>
  <c r="T291" i="1"/>
  <c r="S291" i="1"/>
  <c r="N291" i="1"/>
  <c r="M291" i="1"/>
  <c r="J291" i="1"/>
  <c r="AH290" i="1"/>
  <c r="W290" i="1"/>
  <c r="X290" i="1" s="1"/>
  <c r="Y290" i="1" s="1"/>
  <c r="T290" i="1"/>
  <c r="S290" i="1"/>
  <c r="N290" i="1"/>
  <c r="M290" i="1"/>
  <c r="J290" i="1"/>
  <c r="AH289" i="1"/>
  <c r="X289" i="1"/>
  <c r="Y289" i="1" s="1"/>
  <c r="W289" i="1"/>
  <c r="T289" i="1"/>
  <c r="S289" i="1"/>
  <c r="N289" i="1"/>
  <c r="M289" i="1"/>
  <c r="AH288" i="1"/>
  <c r="X288" i="1"/>
  <c r="Y288" i="1" s="1"/>
  <c r="W288" i="1"/>
  <c r="T288" i="1"/>
  <c r="S288" i="1"/>
  <c r="N288" i="1"/>
  <c r="M288" i="1"/>
  <c r="AH287" i="1"/>
  <c r="X287" i="1"/>
  <c r="Y287" i="1" s="1"/>
  <c r="W287" i="1"/>
  <c r="T287" i="1"/>
  <c r="S287" i="1"/>
  <c r="N287" i="1"/>
  <c r="M287" i="1"/>
  <c r="AH286" i="1"/>
  <c r="X286" i="1"/>
  <c r="Y286" i="1" s="1"/>
  <c r="W286" i="1"/>
  <c r="T286" i="1"/>
  <c r="S286" i="1"/>
  <c r="N286" i="1"/>
  <c r="M286" i="1"/>
  <c r="AH285" i="1"/>
  <c r="X285" i="1"/>
  <c r="Y285" i="1" s="1"/>
  <c r="W285" i="1"/>
  <c r="T285" i="1"/>
  <c r="S285" i="1"/>
  <c r="N285" i="1"/>
  <c r="M285" i="1"/>
  <c r="AH284" i="1"/>
  <c r="X284" i="1"/>
  <c r="Y284" i="1" s="1"/>
  <c r="W284" i="1"/>
  <c r="T284" i="1"/>
  <c r="S284" i="1"/>
  <c r="N284" i="1"/>
  <c r="M284" i="1"/>
  <c r="AH283" i="1"/>
  <c r="X283" i="1"/>
  <c r="Y283" i="1" s="1"/>
  <c r="W283" i="1"/>
  <c r="T283" i="1"/>
  <c r="S283" i="1"/>
  <c r="N283" i="1"/>
  <c r="M283" i="1"/>
  <c r="AH282" i="1"/>
  <c r="AF282" i="1"/>
  <c r="V282" i="1"/>
  <c r="U282" i="1"/>
  <c r="W282" i="1" s="1"/>
  <c r="T282" i="1"/>
  <c r="S282" i="1"/>
  <c r="M282" i="1"/>
  <c r="K282" i="1"/>
  <c r="N282" i="1" s="1"/>
  <c r="J282" i="1"/>
  <c r="AH281" i="1"/>
  <c r="AF281" i="1"/>
  <c r="Y281" i="1"/>
  <c r="X281" i="1"/>
  <c r="W281" i="1"/>
  <c r="T281" i="1"/>
  <c r="S281" i="1"/>
  <c r="N281" i="1"/>
  <c r="M281" i="1"/>
  <c r="J281" i="1"/>
  <c r="AH280" i="1"/>
  <c r="AF280" i="1"/>
  <c r="X280" i="1"/>
  <c r="Y280" i="1" s="1"/>
  <c r="W280" i="1"/>
  <c r="T280" i="1"/>
  <c r="S280" i="1"/>
  <c r="N280" i="1"/>
  <c r="M280" i="1"/>
  <c r="J280" i="1"/>
  <c r="AH279" i="1"/>
  <c r="AA279" i="1"/>
  <c r="W279" i="1"/>
  <c r="T279" i="1"/>
  <c r="S279" i="1"/>
  <c r="X279" i="1" s="1"/>
  <c r="Y279" i="1" s="1"/>
  <c r="N279" i="1"/>
  <c r="M279" i="1"/>
  <c r="AH278" i="1"/>
  <c r="AA278" i="1"/>
  <c r="W278" i="1"/>
  <c r="S278" i="1"/>
  <c r="T278" i="1" s="1"/>
  <c r="N278" i="1"/>
  <c r="M278" i="1"/>
  <c r="AH277" i="1"/>
  <c r="AF277" i="1"/>
  <c r="AA277" i="1"/>
  <c r="W277" i="1"/>
  <c r="S277" i="1"/>
  <c r="X277" i="1" s="1"/>
  <c r="Y277" i="1" s="1"/>
  <c r="N277" i="1"/>
  <c r="M277" i="1"/>
  <c r="J277" i="1"/>
  <c r="AH276" i="1"/>
  <c r="AF276" i="1"/>
  <c r="AA276" i="1"/>
  <c r="X276" i="1"/>
  <c r="Y276" i="1" s="1"/>
  <c r="W276" i="1"/>
  <c r="T276" i="1"/>
  <c r="S276" i="1"/>
  <c r="N276" i="1"/>
  <c r="M276" i="1"/>
  <c r="J276" i="1"/>
  <c r="AH275" i="1"/>
  <c r="AA275" i="1"/>
  <c r="W275" i="1"/>
  <c r="T275" i="1"/>
  <c r="S275" i="1"/>
  <c r="X275" i="1" s="1"/>
  <c r="Y275" i="1" s="1"/>
  <c r="N275" i="1"/>
  <c r="M275" i="1"/>
  <c r="AH274" i="1"/>
  <c r="AF274" i="1"/>
  <c r="AA274" i="1"/>
  <c r="X274" i="1"/>
  <c r="Y274" i="1" s="1"/>
  <c r="W274" i="1"/>
  <c r="T274" i="1"/>
  <c r="S274" i="1"/>
  <c r="N274" i="1"/>
  <c r="M274" i="1"/>
  <c r="J274" i="1"/>
  <c r="AH273" i="1"/>
  <c r="AA273" i="1"/>
  <c r="X273" i="1"/>
  <c r="Y273" i="1" s="1"/>
  <c r="W273" i="1"/>
  <c r="T273" i="1"/>
  <c r="S273" i="1"/>
  <c r="M273" i="1"/>
  <c r="K273" i="1"/>
  <c r="N273" i="1" s="1"/>
  <c r="J273" i="1"/>
  <c r="AH272" i="1"/>
  <c r="AA272" i="1"/>
  <c r="W272" i="1"/>
  <c r="S272" i="1"/>
  <c r="N272" i="1"/>
  <c r="M272" i="1"/>
  <c r="AH271" i="1"/>
  <c r="W271" i="1"/>
  <c r="S271" i="1"/>
  <c r="N271" i="1"/>
  <c r="M271" i="1"/>
  <c r="J271" i="1"/>
  <c r="AH270" i="1"/>
  <c r="AA270" i="1"/>
  <c r="W270" i="1"/>
  <c r="S270" i="1"/>
  <c r="T270" i="1" s="1"/>
  <c r="N270" i="1"/>
  <c r="M270" i="1"/>
  <c r="AH269" i="1"/>
  <c r="AA269" i="1"/>
  <c r="X269" i="1"/>
  <c r="Y269" i="1" s="1"/>
  <c r="W269" i="1"/>
  <c r="T269" i="1"/>
  <c r="S269" i="1"/>
  <c r="N269" i="1"/>
  <c r="M269" i="1"/>
  <c r="J269" i="1"/>
  <c r="AH268" i="1"/>
  <c r="AA268" i="1"/>
  <c r="U268" i="1"/>
  <c r="W268" i="1" s="1"/>
  <c r="X268" i="1" s="1"/>
  <c r="Y268" i="1" s="1"/>
  <c r="T268" i="1"/>
  <c r="S268" i="1"/>
  <c r="M268" i="1"/>
  <c r="K268" i="1"/>
  <c r="N268" i="1" s="1"/>
  <c r="J268" i="1"/>
  <c r="AA267" i="1"/>
  <c r="W267" i="1"/>
  <c r="V267" i="1"/>
  <c r="T267" i="1"/>
  <c r="S267" i="1"/>
  <c r="X267" i="1" s="1"/>
  <c r="Y267" i="1" s="1"/>
  <c r="N267" i="1"/>
  <c r="M267" i="1"/>
  <c r="AA266" i="1"/>
  <c r="V266" i="1"/>
  <c r="W266" i="1" s="1"/>
  <c r="S266" i="1"/>
  <c r="T266" i="1" s="1"/>
  <c r="N266" i="1"/>
  <c r="M266" i="1"/>
  <c r="AA265" i="1"/>
  <c r="W265" i="1"/>
  <c r="V265" i="1"/>
  <c r="T265" i="1"/>
  <c r="S265" i="1"/>
  <c r="X265" i="1" s="1"/>
  <c r="Y265" i="1" s="1"/>
  <c r="N265" i="1"/>
  <c r="M265" i="1"/>
  <c r="AA264" i="1"/>
  <c r="V264" i="1"/>
  <c r="W264" i="1" s="1"/>
  <c r="X264" i="1" s="1"/>
  <c r="Y264" i="1" s="1"/>
  <c r="S264" i="1"/>
  <c r="T264" i="1" s="1"/>
  <c r="N264" i="1"/>
  <c r="M264" i="1"/>
  <c r="AA263" i="1"/>
  <c r="W263" i="1"/>
  <c r="V263" i="1"/>
  <c r="T263" i="1"/>
  <c r="S263" i="1"/>
  <c r="X263" i="1" s="1"/>
  <c r="Y263" i="1" s="1"/>
  <c r="N263" i="1"/>
  <c r="M263" i="1"/>
  <c r="AA262" i="1"/>
  <c r="V262" i="1"/>
  <c r="W262" i="1" s="1"/>
  <c r="X262" i="1" s="1"/>
  <c r="Y262" i="1" s="1"/>
  <c r="T262" i="1"/>
  <c r="S262" i="1"/>
  <c r="N262" i="1"/>
  <c r="M262" i="1"/>
  <c r="AA261" i="1"/>
  <c r="W261" i="1"/>
  <c r="X261" i="1" s="1"/>
  <c r="Y261" i="1" s="1"/>
  <c r="V261" i="1"/>
  <c r="T261" i="1"/>
  <c r="S261" i="1"/>
  <c r="N261" i="1"/>
  <c r="M261" i="1"/>
  <c r="AA260" i="1"/>
  <c r="S260" i="1"/>
  <c r="N260" i="1"/>
  <c r="M260" i="1"/>
  <c r="AA259" i="1"/>
  <c r="W259" i="1"/>
  <c r="V259" i="1"/>
  <c r="T259" i="1"/>
  <c r="S259" i="1"/>
  <c r="X259" i="1" s="1"/>
  <c r="Y259" i="1" s="1"/>
  <c r="N259" i="1"/>
  <c r="M259" i="1"/>
  <c r="AA258" i="1"/>
  <c r="V258" i="1"/>
  <c r="W258" i="1" s="1"/>
  <c r="S258" i="1"/>
  <c r="T258" i="1" s="1"/>
  <c r="N258" i="1"/>
  <c r="M258" i="1"/>
  <c r="AA257" i="1"/>
  <c r="W257" i="1"/>
  <c r="V257" i="1"/>
  <c r="T257" i="1"/>
  <c r="S257" i="1"/>
  <c r="N257" i="1"/>
  <c r="M257" i="1"/>
  <c r="AA256" i="1"/>
  <c r="X256" i="1"/>
  <c r="Y256" i="1" s="1"/>
  <c r="V256" i="1"/>
  <c r="W256" i="1" s="1"/>
  <c r="S256" i="1"/>
  <c r="T256" i="1" s="1"/>
  <c r="N256" i="1"/>
  <c r="M256" i="1"/>
  <c r="AA255" i="1"/>
  <c r="Y255" i="1"/>
  <c r="W255" i="1"/>
  <c r="V255" i="1"/>
  <c r="T255" i="1"/>
  <c r="S255" i="1"/>
  <c r="X255" i="1" s="1"/>
  <c r="N255" i="1"/>
  <c r="M255" i="1"/>
  <c r="AA254" i="1"/>
  <c r="V254" i="1"/>
  <c r="W254" i="1" s="1"/>
  <c r="X254" i="1" s="1"/>
  <c r="Y254" i="1" s="1"/>
  <c r="T254" i="1"/>
  <c r="S254" i="1"/>
  <c r="N254" i="1"/>
  <c r="M254" i="1"/>
  <c r="AA253" i="1"/>
  <c r="W253" i="1"/>
  <c r="X253" i="1" s="1"/>
  <c r="Y253" i="1" s="1"/>
  <c r="V253" i="1"/>
  <c r="T253" i="1"/>
  <c r="S253" i="1"/>
  <c r="N253" i="1"/>
  <c r="M253" i="1"/>
  <c r="AA252" i="1"/>
  <c r="W252" i="1"/>
  <c r="V252" i="1"/>
  <c r="S252" i="1"/>
  <c r="T252" i="1" s="1"/>
  <c r="N252" i="1"/>
  <c r="M252" i="1"/>
  <c r="AA251" i="1"/>
  <c r="W251" i="1"/>
  <c r="V251" i="1"/>
  <c r="T251" i="1"/>
  <c r="S251" i="1"/>
  <c r="X251" i="1" s="1"/>
  <c r="Y251" i="1" s="1"/>
  <c r="N251" i="1"/>
  <c r="M251" i="1"/>
  <c r="AA250" i="1"/>
  <c r="V250" i="1"/>
  <c r="W250" i="1" s="1"/>
  <c r="S250" i="1"/>
  <c r="T250" i="1" s="1"/>
  <c r="N250" i="1"/>
  <c r="M250" i="1"/>
  <c r="AH249" i="1"/>
  <c r="AF249" i="1"/>
  <c r="X249" i="1"/>
  <c r="Y249" i="1" s="1"/>
  <c r="W249" i="1"/>
  <c r="T249" i="1"/>
  <c r="S249" i="1"/>
  <c r="N249" i="1"/>
  <c r="M249" i="1"/>
  <c r="J249" i="1"/>
  <c r="AH248" i="1"/>
  <c r="W248" i="1"/>
  <c r="S248" i="1"/>
  <c r="N248" i="1"/>
  <c r="M248" i="1"/>
  <c r="AH247" i="1"/>
  <c r="W247" i="1"/>
  <c r="S247" i="1"/>
  <c r="N247" i="1"/>
  <c r="M247" i="1"/>
  <c r="J247" i="1"/>
  <c r="AH246" i="1"/>
  <c r="W246" i="1"/>
  <c r="T246" i="1"/>
  <c r="S246" i="1"/>
  <c r="X246" i="1" s="1"/>
  <c r="Y246" i="1" s="1"/>
  <c r="N246" i="1"/>
  <c r="M246" i="1"/>
  <c r="J246" i="1"/>
  <c r="AH245" i="1"/>
  <c r="W245" i="1"/>
  <c r="X245" i="1" s="1"/>
  <c r="Y245" i="1" s="1"/>
  <c r="T245" i="1"/>
  <c r="S245" i="1"/>
  <c r="N245" i="1"/>
  <c r="M245" i="1"/>
  <c r="J245" i="1"/>
  <c r="AH244" i="1"/>
  <c r="AF244" i="1"/>
  <c r="W244" i="1"/>
  <c r="S244" i="1"/>
  <c r="N244" i="1"/>
  <c r="M244" i="1"/>
  <c r="J244" i="1"/>
  <c r="W243" i="1"/>
  <c r="S243" i="1"/>
  <c r="N243" i="1"/>
  <c r="M243" i="1"/>
  <c r="W242" i="1"/>
  <c r="Q242" i="1"/>
  <c r="S242" i="1" s="1"/>
  <c r="T242" i="1" s="1"/>
  <c r="N242" i="1"/>
  <c r="M242" i="1"/>
  <c r="AH241" i="1"/>
  <c r="AF241" i="1"/>
  <c r="W241" i="1"/>
  <c r="T241" i="1"/>
  <c r="S241" i="1"/>
  <c r="X241" i="1" s="1"/>
  <c r="Y241" i="1" s="1"/>
  <c r="M241" i="1"/>
  <c r="K241" i="1"/>
  <c r="N241" i="1" s="1"/>
  <c r="J241" i="1"/>
  <c r="AH240" i="1"/>
  <c r="X240" i="1"/>
  <c r="Y240" i="1" s="1"/>
  <c r="W240" i="1"/>
  <c r="T240" i="1"/>
  <c r="S240" i="1"/>
  <c r="N240" i="1"/>
  <c r="M240" i="1"/>
  <c r="J240" i="1"/>
  <c r="AH239" i="1"/>
  <c r="W239" i="1"/>
  <c r="S239" i="1"/>
  <c r="N239" i="1"/>
  <c r="M239" i="1"/>
  <c r="AH238" i="1"/>
  <c r="W238" i="1"/>
  <c r="S238" i="1"/>
  <c r="N238" i="1"/>
  <c r="M238" i="1"/>
  <c r="X237" i="1"/>
  <c r="Y237" i="1" s="1"/>
  <c r="W237" i="1"/>
  <c r="T237" i="1"/>
  <c r="S237" i="1"/>
  <c r="N237" i="1"/>
  <c r="M237" i="1"/>
  <c r="W236" i="1"/>
  <c r="U236" i="1"/>
  <c r="Q236" i="1"/>
  <c r="S236" i="1" s="1"/>
  <c r="N236" i="1"/>
  <c r="M236" i="1"/>
  <c r="J236" i="1"/>
  <c r="W235" i="1"/>
  <c r="S235" i="1"/>
  <c r="N235" i="1"/>
  <c r="M235" i="1"/>
  <c r="X234" i="1"/>
  <c r="Y234" i="1" s="1"/>
  <c r="W234" i="1"/>
  <c r="Q234" i="1"/>
  <c r="S234" i="1" s="1"/>
  <c r="T234" i="1" s="1"/>
  <c r="N234" i="1"/>
  <c r="M234" i="1"/>
  <c r="J234" i="1"/>
  <c r="W233" i="1"/>
  <c r="Q233" i="1"/>
  <c r="S233" i="1" s="1"/>
  <c r="N233" i="1"/>
  <c r="M233" i="1"/>
  <c r="W232" i="1"/>
  <c r="Q232" i="1"/>
  <c r="S232" i="1" s="1"/>
  <c r="N232" i="1"/>
  <c r="M232" i="1"/>
  <c r="J232" i="1"/>
  <c r="AH231" i="1"/>
  <c r="AF231" i="1"/>
  <c r="X231" i="1"/>
  <c r="Y231" i="1" s="1"/>
  <c r="W231" i="1"/>
  <c r="T231" i="1"/>
  <c r="S231" i="1"/>
  <c r="N231" i="1"/>
  <c r="M231" i="1"/>
  <c r="J231" i="1"/>
  <c r="AH230" i="1"/>
  <c r="W230" i="1"/>
  <c r="S230" i="1"/>
  <c r="T230" i="1" s="1"/>
  <c r="N230" i="1"/>
  <c r="M230" i="1"/>
  <c r="J230" i="1"/>
  <c r="AH229" i="1"/>
  <c r="AF229" i="1"/>
  <c r="W229" i="1"/>
  <c r="S229" i="1"/>
  <c r="T229" i="1" s="1"/>
  <c r="N229" i="1"/>
  <c r="M229" i="1"/>
  <c r="J229" i="1"/>
  <c r="AH228" i="1"/>
  <c r="U228" i="1"/>
  <c r="W228" i="1" s="1"/>
  <c r="X228" i="1" s="1"/>
  <c r="Y228" i="1" s="1"/>
  <c r="S228" i="1"/>
  <c r="T228" i="1" s="1"/>
  <c r="N228" i="1"/>
  <c r="M228" i="1"/>
  <c r="K228" i="1"/>
  <c r="J228" i="1"/>
  <c r="AH227" i="1"/>
  <c r="W227" i="1"/>
  <c r="X227" i="1" s="1"/>
  <c r="Y227" i="1" s="1"/>
  <c r="T227" i="1"/>
  <c r="S227" i="1"/>
  <c r="N227" i="1"/>
  <c r="M227" i="1"/>
  <c r="J227" i="1"/>
  <c r="AH226" i="1"/>
  <c r="W226" i="1"/>
  <c r="X226" i="1" s="1"/>
  <c r="Y226" i="1" s="1"/>
  <c r="T226" i="1"/>
  <c r="S226" i="1"/>
  <c r="N226" i="1"/>
  <c r="M226" i="1"/>
  <c r="J226" i="1"/>
  <c r="AH225" i="1"/>
  <c r="X225" i="1"/>
  <c r="Y225" i="1" s="1"/>
  <c r="W225" i="1"/>
  <c r="S225" i="1"/>
  <c r="T225" i="1" s="1"/>
  <c r="N225" i="1"/>
  <c r="M225" i="1"/>
  <c r="J225" i="1"/>
  <c r="AH224" i="1"/>
  <c r="Y224" i="1"/>
  <c r="W224" i="1"/>
  <c r="T224" i="1"/>
  <c r="S224" i="1"/>
  <c r="X224" i="1" s="1"/>
  <c r="N224" i="1"/>
  <c r="M224" i="1"/>
  <c r="K224" i="1"/>
  <c r="J224" i="1"/>
  <c r="AH223" i="1"/>
  <c r="W223" i="1"/>
  <c r="X223" i="1" s="1"/>
  <c r="Y223" i="1" s="1"/>
  <c r="T223" i="1"/>
  <c r="S223" i="1"/>
  <c r="N223" i="1"/>
  <c r="M223" i="1"/>
  <c r="J223" i="1"/>
  <c r="AH222" i="1"/>
  <c r="W222" i="1"/>
  <c r="S222" i="1"/>
  <c r="N222" i="1"/>
  <c r="M222" i="1"/>
  <c r="J222" i="1"/>
  <c r="AH221" i="1"/>
  <c r="X221" i="1"/>
  <c r="Y221" i="1" s="1"/>
  <c r="W221" i="1"/>
  <c r="T221" i="1"/>
  <c r="S221" i="1"/>
  <c r="N221" i="1"/>
  <c r="M221" i="1"/>
  <c r="AH220" i="1"/>
  <c r="X220" i="1"/>
  <c r="Y220" i="1" s="1"/>
  <c r="W220" i="1"/>
  <c r="T220" i="1"/>
  <c r="S220" i="1"/>
  <c r="N220" i="1"/>
  <c r="M220" i="1"/>
  <c r="AH219" i="1"/>
  <c r="AF219" i="1"/>
  <c r="Y219" i="1"/>
  <c r="W219" i="1"/>
  <c r="X219" i="1" s="1"/>
  <c r="T219" i="1"/>
  <c r="S219" i="1"/>
  <c r="N219" i="1"/>
  <c r="M219" i="1"/>
  <c r="J219" i="1"/>
  <c r="AH218" i="1"/>
  <c r="AF218" i="1"/>
  <c r="X218" i="1"/>
  <c r="Y218" i="1" s="1"/>
  <c r="W218" i="1"/>
  <c r="V218" i="1"/>
  <c r="T218" i="1"/>
  <c r="S218" i="1"/>
  <c r="M218" i="1"/>
  <c r="J218" i="1"/>
  <c r="K218" i="1" s="1"/>
  <c r="N218" i="1" s="1"/>
  <c r="AH217" i="1"/>
  <c r="X217" i="1"/>
  <c r="Y217" i="1" s="1"/>
  <c r="W217" i="1"/>
  <c r="T217" i="1"/>
  <c r="S217" i="1"/>
  <c r="N217" i="1"/>
  <c r="M217" i="1"/>
  <c r="K217" i="1"/>
  <c r="J217" i="1"/>
  <c r="AH216" i="1"/>
  <c r="Y216" i="1"/>
  <c r="X216" i="1"/>
  <c r="W216" i="1"/>
  <c r="T216" i="1"/>
  <c r="S216" i="1"/>
  <c r="N216" i="1"/>
  <c r="M216" i="1"/>
  <c r="J216" i="1"/>
  <c r="Y215" i="1"/>
  <c r="X215" i="1"/>
  <c r="W215" i="1"/>
  <c r="T215" i="1"/>
  <c r="S215" i="1"/>
  <c r="N215" i="1"/>
  <c r="M215" i="1"/>
  <c r="W214" i="1"/>
  <c r="Q214" i="1"/>
  <c r="S214" i="1" s="1"/>
  <c r="N214" i="1"/>
  <c r="M214" i="1"/>
  <c r="X213" i="1"/>
  <c r="Y213" i="1" s="1"/>
  <c r="W213" i="1"/>
  <c r="S213" i="1"/>
  <c r="T213" i="1" s="1"/>
  <c r="N213" i="1"/>
  <c r="M213" i="1"/>
  <c r="J213" i="1"/>
  <c r="W212" i="1"/>
  <c r="X212" i="1" s="1"/>
  <c r="Y212" i="1" s="1"/>
  <c r="S212" i="1"/>
  <c r="T212" i="1" s="1"/>
  <c r="N212" i="1"/>
  <c r="M212" i="1"/>
  <c r="X211" i="1"/>
  <c r="Y211" i="1" s="1"/>
  <c r="W211" i="1"/>
  <c r="T211" i="1"/>
  <c r="Q211" i="1"/>
  <c r="S211" i="1" s="1"/>
  <c r="N211" i="1"/>
  <c r="M211" i="1"/>
  <c r="W210" i="1"/>
  <c r="X210" i="1" s="1"/>
  <c r="Y210" i="1" s="1"/>
  <c r="T210" i="1"/>
  <c r="S210" i="1"/>
  <c r="N210" i="1"/>
  <c r="M210" i="1"/>
  <c r="W209" i="1"/>
  <c r="T209" i="1"/>
  <c r="S209" i="1"/>
  <c r="Q209" i="1"/>
  <c r="N209" i="1"/>
  <c r="M209" i="1"/>
  <c r="J209" i="1"/>
  <c r="AH208" i="1"/>
  <c r="W208" i="1"/>
  <c r="S208" i="1"/>
  <c r="T208" i="1" s="1"/>
  <c r="N208" i="1"/>
  <c r="M208" i="1"/>
  <c r="J208" i="1"/>
  <c r="X207" i="1"/>
  <c r="Y207" i="1" s="1"/>
  <c r="W207" i="1"/>
  <c r="S207" i="1"/>
  <c r="T207" i="1" s="1"/>
  <c r="N207" i="1"/>
  <c r="M207" i="1"/>
  <c r="W206" i="1"/>
  <c r="U206" i="1"/>
  <c r="S206" i="1"/>
  <c r="T206" i="1" s="1"/>
  <c r="Q206" i="1"/>
  <c r="N206" i="1"/>
  <c r="M206" i="1"/>
  <c r="J206" i="1"/>
  <c r="AH205" i="1"/>
  <c r="W205" i="1"/>
  <c r="T205" i="1"/>
  <c r="S205" i="1"/>
  <c r="N205" i="1"/>
  <c r="M205" i="1"/>
  <c r="J205" i="1"/>
  <c r="AH204" i="1"/>
  <c r="X204" i="1"/>
  <c r="Y204" i="1" s="1"/>
  <c r="W204" i="1"/>
  <c r="T204" i="1"/>
  <c r="S204" i="1"/>
  <c r="N204" i="1"/>
  <c r="M204" i="1"/>
  <c r="J204" i="1"/>
  <c r="AH203" i="1"/>
  <c r="W203" i="1"/>
  <c r="X203" i="1" s="1"/>
  <c r="Y203" i="1" s="1"/>
  <c r="S203" i="1"/>
  <c r="T203" i="1" s="1"/>
  <c r="N203" i="1"/>
  <c r="M203" i="1"/>
  <c r="J203" i="1"/>
  <c r="AH202" i="1"/>
  <c r="AF202" i="1"/>
  <c r="W202" i="1"/>
  <c r="S202" i="1"/>
  <c r="N202" i="1"/>
  <c r="M202" i="1"/>
  <c r="J202" i="1"/>
  <c r="AH201" i="1"/>
  <c r="W201" i="1"/>
  <c r="X201" i="1" s="1"/>
  <c r="Y201" i="1" s="1"/>
  <c r="T201" i="1"/>
  <c r="S201" i="1"/>
  <c r="N201" i="1"/>
  <c r="M201" i="1"/>
  <c r="AH200" i="1"/>
  <c r="AF200" i="1"/>
  <c r="X200" i="1"/>
  <c r="Y200" i="1" s="1"/>
  <c r="W200" i="1"/>
  <c r="S200" i="1"/>
  <c r="T200" i="1" s="1"/>
  <c r="N200" i="1"/>
  <c r="M200" i="1"/>
  <c r="J200" i="1"/>
  <c r="AH199" i="1"/>
  <c r="AF199" i="1"/>
  <c r="W199" i="1"/>
  <c r="S199" i="1"/>
  <c r="X199" i="1" s="1"/>
  <c r="Y199" i="1" s="1"/>
  <c r="N199" i="1"/>
  <c r="M199" i="1"/>
  <c r="J199" i="1"/>
  <c r="AH198" i="1"/>
  <c r="X198" i="1"/>
  <c r="Y198" i="1" s="1"/>
  <c r="W198" i="1"/>
  <c r="T198" i="1"/>
  <c r="S198" i="1"/>
  <c r="N198" i="1"/>
  <c r="M198" i="1"/>
  <c r="AH197" i="1"/>
  <c r="W197" i="1"/>
  <c r="X197" i="1" s="1"/>
  <c r="Y197" i="1" s="1"/>
  <c r="T197" i="1"/>
  <c r="S197" i="1"/>
  <c r="N197" i="1"/>
  <c r="M197" i="1"/>
  <c r="J197" i="1"/>
  <c r="AH196" i="1"/>
  <c r="X196" i="1"/>
  <c r="Y196" i="1" s="1"/>
  <c r="W196" i="1"/>
  <c r="S196" i="1"/>
  <c r="T196" i="1" s="1"/>
  <c r="N196" i="1"/>
  <c r="M196" i="1"/>
  <c r="AH195" i="1"/>
  <c r="Y195" i="1"/>
  <c r="W195" i="1"/>
  <c r="X195" i="1" s="1"/>
  <c r="S195" i="1"/>
  <c r="T195" i="1" s="1"/>
  <c r="N195" i="1"/>
  <c r="M195" i="1"/>
  <c r="J195" i="1"/>
  <c r="AH194" i="1"/>
  <c r="Y194" i="1"/>
  <c r="X194" i="1"/>
  <c r="W194" i="1"/>
  <c r="S194" i="1"/>
  <c r="T194" i="1" s="1"/>
  <c r="N194" i="1"/>
  <c r="M194" i="1"/>
  <c r="AH193" i="1"/>
  <c r="Y193" i="1"/>
  <c r="X193" i="1"/>
  <c r="W193" i="1"/>
  <c r="S193" i="1"/>
  <c r="T193" i="1" s="1"/>
  <c r="N193" i="1"/>
  <c r="M193" i="1"/>
  <c r="J193" i="1"/>
  <c r="AH192" i="1"/>
  <c r="W192" i="1"/>
  <c r="S192" i="1"/>
  <c r="M192" i="1"/>
  <c r="K192" i="1"/>
  <c r="N192" i="1" s="1"/>
  <c r="J192" i="1"/>
  <c r="AH191" i="1"/>
  <c r="X191" i="1"/>
  <c r="Y191" i="1" s="1"/>
  <c r="W191" i="1"/>
  <c r="S191" i="1"/>
  <c r="T191" i="1" s="1"/>
  <c r="N191" i="1"/>
  <c r="M191" i="1"/>
  <c r="AH190" i="1"/>
  <c r="Y190" i="1"/>
  <c r="W190" i="1"/>
  <c r="X190" i="1" s="1"/>
  <c r="S190" i="1"/>
  <c r="T190" i="1" s="1"/>
  <c r="N190" i="1"/>
  <c r="M190" i="1"/>
  <c r="AH189" i="1"/>
  <c r="X189" i="1"/>
  <c r="Y189" i="1" s="1"/>
  <c r="W189" i="1"/>
  <c r="S189" i="1"/>
  <c r="T189" i="1" s="1"/>
  <c r="N189" i="1"/>
  <c r="M189" i="1"/>
  <c r="AH188" i="1"/>
  <c r="W188" i="1"/>
  <c r="S188" i="1"/>
  <c r="T188" i="1" s="1"/>
  <c r="N188" i="1"/>
  <c r="M188" i="1"/>
  <c r="J188" i="1"/>
  <c r="AH187" i="1"/>
  <c r="W187" i="1"/>
  <c r="S187" i="1"/>
  <c r="T187" i="1" s="1"/>
  <c r="N187" i="1"/>
  <c r="M187" i="1"/>
  <c r="AH186" i="1"/>
  <c r="W186" i="1"/>
  <c r="S186" i="1"/>
  <c r="T186" i="1" s="1"/>
  <c r="N186" i="1"/>
  <c r="M186" i="1"/>
  <c r="J186" i="1"/>
  <c r="AH185" i="1"/>
  <c r="W185" i="1"/>
  <c r="S185" i="1"/>
  <c r="N185" i="1"/>
  <c r="M185" i="1"/>
  <c r="J185" i="1"/>
  <c r="AH184" i="1"/>
  <c r="W184" i="1"/>
  <c r="X184" i="1" s="1"/>
  <c r="Y184" i="1" s="1"/>
  <c r="T184" i="1"/>
  <c r="S184" i="1"/>
  <c r="N184" i="1"/>
  <c r="M184" i="1"/>
  <c r="J184" i="1"/>
  <c r="AH183" i="1"/>
  <c r="X183" i="1"/>
  <c r="Y183" i="1" s="1"/>
  <c r="W183" i="1"/>
  <c r="S183" i="1"/>
  <c r="T183" i="1" s="1"/>
  <c r="N183" i="1"/>
  <c r="M183" i="1"/>
  <c r="AH182" i="1"/>
  <c r="W182" i="1"/>
  <c r="S182" i="1"/>
  <c r="T182" i="1" s="1"/>
  <c r="N182" i="1"/>
  <c r="M182" i="1"/>
  <c r="J182" i="1"/>
  <c r="AH181" i="1"/>
  <c r="AF181" i="1"/>
  <c r="W181" i="1"/>
  <c r="S181" i="1"/>
  <c r="N181" i="1"/>
  <c r="M181" i="1"/>
  <c r="AH180" i="1"/>
  <c r="Y180" i="1"/>
  <c r="W180" i="1"/>
  <c r="T180" i="1"/>
  <c r="S180" i="1"/>
  <c r="X180" i="1" s="1"/>
  <c r="N180" i="1"/>
  <c r="M180" i="1"/>
  <c r="AH179" i="1"/>
  <c r="W179" i="1"/>
  <c r="S179" i="1"/>
  <c r="N179" i="1"/>
  <c r="M179" i="1"/>
  <c r="J179" i="1"/>
  <c r="AH178" i="1"/>
  <c r="W178" i="1"/>
  <c r="S178" i="1"/>
  <c r="N178" i="1"/>
  <c r="M178" i="1"/>
  <c r="J178" i="1"/>
  <c r="AH177" i="1"/>
  <c r="Y177" i="1"/>
  <c r="X177" i="1"/>
  <c r="W177" i="1"/>
  <c r="T177" i="1"/>
  <c r="S177" i="1"/>
  <c r="N177" i="1"/>
  <c r="M177" i="1"/>
  <c r="J177" i="1"/>
  <c r="AH176" i="1"/>
  <c r="W176" i="1"/>
  <c r="S176" i="1"/>
  <c r="T176" i="1" s="1"/>
  <c r="N176" i="1"/>
  <c r="M176" i="1"/>
  <c r="J176" i="1"/>
  <c r="AH175" i="1"/>
  <c r="X175" i="1"/>
  <c r="Y175" i="1" s="1"/>
  <c r="W175" i="1"/>
  <c r="T175" i="1"/>
  <c r="S175" i="1"/>
  <c r="N175" i="1"/>
  <c r="M175" i="1"/>
  <c r="J175" i="1"/>
  <c r="AH174" i="1"/>
  <c r="Y174" i="1"/>
  <c r="W174" i="1"/>
  <c r="T174" i="1"/>
  <c r="S174" i="1"/>
  <c r="X174" i="1" s="1"/>
  <c r="N174" i="1"/>
  <c r="M174" i="1"/>
  <c r="J174" i="1"/>
  <c r="AH173" i="1"/>
  <c r="W173" i="1"/>
  <c r="S173" i="1"/>
  <c r="X173" i="1" s="1"/>
  <c r="Y173" i="1" s="1"/>
  <c r="N173" i="1"/>
  <c r="M173" i="1"/>
  <c r="AH172" i="1"/>
  <c r="AF172" i="1"/>
  <c r="W172" i="1"/>
  <c r="T172" i="1"/>
  <c r="S172" i="1"/>
  <c r="X172" i="1" s="1"/>
  <c r="Y172" i="1" s="1"/>
  <c r="N172" i="1"/>
  <c r="M172" i="1"/>
  <c r="AH171" i="1"/>
  <c r="W171" i="1"/>
  <c r="T171" i="1"/>
  <c r="S171" i="1"/>
  <c r="X171" i="1" s="1"/>
  <c r="Y171" i="1" s="1"/>
  <c r="N171" i="1"/>
  <c r="M171" i="1"/>
  <c r="AH170" i="1"/>
  <c r="W170" i="1"/>
  <c r="T170" i="1"/>
  <c r="S170" i="1"/>
  <c r="X170" i="1" s="1"/>
  <c r="Y170" i="1" s="1"/>
  <c r="N170" i="1"/>
  <c r="M170" i="1"/>
  <c r="J170" i="1"/>
  <c r="AH169" i="1"/>
  <c r="W169" i="1"/>
  <c r="X169" i="1" s="1"/>
  <c r="Y169" i="1" s="1"/>
  <c r="T169" i="1"/>
  <c r="S169" i="1"/>
  <c r="N169" i="1"/>
  <c r="M169" i="1"/>
  <c r="J169" i="1"/>
  <c r="AH168" i="1"/>
  <c r="W168" i="1"/>
  <c r="S168" i="1"/>
  <c r="N168" i="1"/>
  <c r="M168" i="1"/>
  <c r="J168" i="1"/>
  <c r="AH167" i="1"/>
  <c r="Y167" i="1"/>
  <c r="X167" i="1"/>
  <c r="W167" i="1"/>
  <c r="T167" i="1"/>
  <c r="S167" i="1"/>
  <c r="N167" i="1"/>
  <c r="M167" i="1"/>
  <c r="K167" i="1"/>
  <c r="AH166" i="1"/>
  <c r="W166" i="1"/>
  <c r="S166" i="1"/>
  <c r="T166" i="1" s="1"/>
  <c r="N166" i="1"/>
  <c r="M166" i="1"/>
  <c r="AH165" i="1"/>
  <c r="W165" i="1"/>
  <c r="S165" i="1"/>
  <c r="T165" i="1" s="1"/>
  <c r="M165" i="1"/>
  <c r="K165" i="1"/>
  <c r="N165" i="1" s="1"/>
  <c r="J165" i="1"/>
  <c r="AH164" i="1"/>
  <c r="Y164" i="1"/>
  <c r="W164" i="1"/>
  <c r="T164" i="1"/>
  <c r="S164" i="1"/>
  <c r="X164" i="1" s="1"/>
  <c r="N164" i="1"/>
  <c r="M164" i="1"/>
  <c r="J164" i="1"/>
  <c r="AH163" i="1"/>
  <c r="W163" i="1"/>
  <c r="S163" i="1"/>
  <c r="X163" i="1" s="1"/>
  <c r="Y163" i="1" s="1"/>
  <c r="N163" i="1"/>
  <c r="M163" i="1"/>
  <c r="J163" i="1"/>
  <c r="AH162" i="1"/>
  <c r="W162" i="1"/>
  <c r="T162" i="1"/>
  <c r="S162" i="1"/>
  <c r="X162" i="1" s="1"/>
  <c r="Y162" i="1" s="1"/>
  <c r="N162" i="1"/>
  <c r="M162" i="1"/>
  <c r="AH161" i="1"/>
  <c r="W161" i="1"/>
  <c r="T161" i="1"/>
  <c r="S161" i="1"/>
  <c r="X161" i="1" s="1"/>
  <c r="Y161" i="1" s="1"/>
  <c r="N161" i="1"/>
  <c r="M161" i="1"/>
  <c r="AH160" i="1"/>
  <c r="W160" i="1"/>
  <c r="T160" i="1"/>
  <c r="S160" i="1"/>
  <c r="X160" i="1" s="1"/>
  <c r="Y160" i="1" s="1"/>
  <c r="M160" i="1"/>
  <c r="J160" i="1"/>
  <c r="K160" i="1" s="1"/>
  <c r="N160" i="1" s="1"/>
  <c r="AH159" i="1"/>
  <c r="W159" i="1"/>
  <c r="S159" i="1"/>
  <c r="N159" i="1"/>
  <c r="M159" i="1"/>
  <c r="J159" i="1"/>
  <c r="AH158" i="1"/>
  <c r="Y158" i="1"/>
  <c r="X158" i="1"/>
  <c r="W158" i="1"/>
  <c r="T158" i="1"/>
  <c r="S158" i="1"/>
  <c r="N158" i="1"/>
  <c r="M158" i="1"/>
  <c r="AH157" i="1"/>
  <c r="Y157" i="1"/>
  <c r="X157" i="1"/>
  <c r="W157" i="1"/>
  <c r="T157" i="1"/>
  <c r="S157" i="1"/>
  <c r="N157" i="1"/>
  <c r="M157" i="1"/>
  <c r="J157" i="1"/>
  <c r="AH156" i="1"/>
  <c r="AF156" i="1"/>
  <c r="X156" i="1"/>
  <c r="Y156" i="1" s="1"/>
  <c r="W156" i="1"/>
  <c r="T156" i="1"/>
  <c r="S156" i="1"/>
  <c r="M156" i="1"/>
  <c r="K156" i="1"/>
  <c r="N156" i="1" s="1"/>
  <c r="J156" i="1"/>
  <c r="AH155" i="1"/>
  <c r="W155" i="1"/>
  <c r="S155" i="1"/>
  <c r="X155" i="1" s="1"/>
  <c r="Y155" i="1" s="1"/>
  <c r="N155" i="1"/>
  <c r="M155" i="1"/>
  <c r="J155" i="1"/>
  <c r="AH154" i="1"/>
  <c r="W154" i="1"/>
  <c r="T154" i="1"/>
  <c r="S154" i="1"/>
  <c r="X154" i="1" s="1"/>
  <c r="Y154" i="1" s="1"/>
  <c r="N154" i="1"/>
  <c r="M154" i="1"/>
  <c r="J154" i="1"/>
  <c r="AH153" i="1"/>
  <c r="W153" i="1"/>
  <c r="X153" i="1" s="1"/>
  <c r="Y153" i="1" s="1"/>
  <c r="T153" i="1"/>
  <c r="S153" i="1"/>
  <c r="N153" i="1"/>
  <c r="M153" i="1"/>
  <c r="J153" i="1"/>
  <c r="AH152" i="1"/>
  <c r="W152" i="1"/>
  <c r="S152" i="1"/>
  <c r="N152" i="1"/>
  <c r="M152" i="1"/>
  <c r="AH151" i="1"/>
  <c r="W151" i="1"/>
  <c r="S151" i="1"/>
  <c r="N151" i="1"/>
  <c r="M151" i="1"/>
  <c r="J151" i="1"/>
  <c r="AH150" i="1"/>
  <c r="Y150" i="1"/>
  <c r="X150" i="1"/>
  <c r="W150" i="1"/>
  <c r="T150" i="1"/>
  <c r="S150" i="1"/>
  <c r="M150" i="1"/>
  <c r="J150" i="1"/>
  <c r="K150" i="1" s="1"/>
  <c r="N150" i="1" s="1"/>
  <c r="AH149" i="1"/>
  <c r="X149" i="1"/>
  <c r="Y149" i="1" s="1"/>
  <c r="W149" i="1"/>
  <c r="T149" i="1"/>
  <c r="S149" i="1"/>
  <c r="N149" i="1"/>
  <c r="M149" i="1"/>
  <c r="AH148" i="1"/>
  <c r="X148" i="1"/>
  <c r="Y148" i="1" s="1"/>
  <c r="W148" i="1"/>
  <c r="T148" i="1"/>
  <c r="S148" i="1"/>
  <c r="N148" i="1"/>
  <c r="M148" i="1"/>
  <c r="J148" i="1"/>
  <c r="X147" i="1"/>
  <c r="Y147" i="1" s="1"/>
  <c r="W147" i="1"/>
  <c r="T147" i="1"/>
  <c r="S147" i="1"/>
  <c r="N147" i="1"/>
  <c r="M147" i="1"/>
  <c r="W146" i="1"/>
  <c r="S146" i="1"/>
  <c r="T146" i="1" s="1"/>
  <c r="Q146" i="1"/>
  <c r="N146" i="1"/>
  <c r="M146" i="1"/>
  <c r="W145" i="1"/>
  <c r="S145" i="1"/>
  <c r="T145" i="1" s="1"/>
  <c r="N145" i="1"/>
  <c r="M145" i="1"/>
  <c r="W144" i="1"/>
  <c r="Q144" i="1"/>
  <c r="S144" i="1" s="1"/>
  <c r="X144" i="1" s="1"/>
  <c r="Y144" i="1" s="1"/>
  <c r="N144" i="1"/>
  <c r="M144" i="1"/>
  <c r="J144" i="1"/>
  <c r="W143" i="1"/>
  <c r="S143" i="1"/>
  <c r="T143" i="1" s="1"/>
  <c r="N143" i="1"/>
  <c r="M143" i="1"/>
  <c r="U142" i="1"/>
  <c r="W142" i="1" s="1"/>
  <c r="X142" i="1" s="1"/>
  <c r="Y142" i="1" s="1"/>
  <c r="S142" i="1"/>
  <c r="T142" i="1" s="1"/>
  <c r="Q142" i="1"/>
  <c r="N142" i="1"/>
  <c r="M142" i="1"/>
  <c r="J142" i="1"/>
  <c r="X141" i="1"/>
  <c r="Y141" i="1" s="1"/>
  <c r="W141" i="1"/>
  <c r="T141" i="1"/>
  <c r="S141" i="1"/>
  <c r="N141" i="1"/>
  <c r="M141" i="1"/>
  <c r="J141" i="1"/>
  <c r="X140" i="1"/>
  <c r="Y140" i="1" s="1"/>
  <c r="W140" i="1"/>
  <c r="T140" i="1"/>
  <c r="S140" i="1"/>
  <c r="N140" i="1"/>
  <c r="M140" i="1"/>
  <c r="W139" i="1"/>
  <c r="S139" i="1"/>
  <c r="T139" i="1" s="1"/>
  <c r="N139" i="1"/>
  <c r="M139" i="1"/>
  <c r="W138" i="1"/>
  <c r="T138" i="1"/>
  <c r="Q138" i="1"/>
  <c r="S138" i="1" s="1"/>
  <c r="X138" i="1" s="1"/>
  <c r="Y138" i="1" s="1"/>
  <c r="N138" i="1"/>
  <c r="M138" i="1"/>
  <c r="J138" i="1"/>
  <c r="W137" i="1"/>
  <c r="S137" i="1"/>
  <c r="T137" i="1" s="1"/>
  <c r="N137" i="1"/>
  <c r="M137" i="1"/>
  <c r="W136" i="1"/>
  <c r="T136" i="1"/>
  <c r="Q136" i="1"/>
  <c r="S136" i="1" s="1"/>
  <c r="X136" i="1" s="1"/>
  <c r="Y136" i="1" s="1"/>
  <c r="N136" i="1"/>
  <c r="M136" i="1"/>
  <c r="J136" i="1"/>
  <c r="W135" i="1"/>
  <c r="S135" i="1"/>
  <c r="T135" i="1" s="1"/>
  <c r="N135" i="1"/>
  <c r="M135" i="1"/>
  <c r="U134" i="1"/>
  <c r="W134" i="1" s="1"/>
  <c r="X134" i="1" s="1"/>
  <c r="Y134" i="1" s="1"/>
  <c r="S134" i="1"/>
  <c r="T134" i="1" s="1"/>
  <c r="Q134" i="1"/>
  <c r="M134" i="1"/>
  <c r="K134" i="1"/>
  <c r="N134" i="1" s="1"/>
  <c r="J134" i="1"/>
  <c r="W133" i="1"/>
  <c r="U133" i="1"/>
  <c r="S133" i="1"/>
  <c r="X133" i="1" s="1"/>
  <c r="Y133" i="1" s="1"/>
  <c r="N133" i="1"/>
  <c r="M133" i="1"/>
  <c r="J133" i="1"/>
  <c r="AH132" i="1"/>
  <c r="W132" i="1"/>
  <c r="T132" i="1"/>
  <c r="S132" i="1"/>
  <c r="X132" i="1" s="1"/>
  <c r="Y132" i="1" s="1"/>
  <c r="N132" i="1"/>
  <c r="M132" i="1"/>
  <c r="W131" i="1"/>
  <c r="S131" i="1"/>
  <c r="X131" i="1" s="1"/>
  <c r="Y131" i="1" s="1"/>
  <c r="N131" i="1"/>
  <c r="M131" i="1"/>
  <c r="W130" i="1"/>
  <c r="Q130" i="1"/>
  <c r="S130" i="1" s="1"/>
  <c r="N130" i="1"/>
  <c r="M130" i="1"/>
  <c r="J130" i="1"/>
  <c r="W129" i="1"/>
  <c r="S129" i="1"/>
  <c r="X129" i="1" s="1"/>
  <c r="Y129" i="1" s="1"/>
  <c r="N129" i="1"/>
  <c r="M129" i="1"/>
  <c r="W128" i="1"/>
  <c r="Q128" i="1"/>
  <c r="S128" i="1" s="1"/>
  <c r="N128" i="1"/>
  <c r="M128" i="1"/>
  <c r="J128" i="1"/>
  <c r="W127" i="1"/>
  <c r="S127" i="1"/>
  <c r="X127" i="1" s="1"/>
  <c r="Y127" i="1" s="1"/>
  <c r="Q127" i="1"/>
  <c r="N127" i="1"/>
  <c r="M127" i="1"/>
  <c r="J127" i="1"/>
  <c r="AH126" i="1"/>
  <c r="AA126" i="1"/>
  <c r="W126" i="1"/>
  <c r="S126" i="1"/>
  <c r="M126" i="1"/>
  <c r="K126" i="1"/>
  <c r="N126" i="1" s="1"/>
  <c r="J126" i="1"/>
  <c r="Y125" i="1"/>
  <c r="X125" i="1"/>
  <c r="W125" i="1"/>
  <c r="T125" i="1"/>
  <c r="S125" i="1"/>
  <c r="N125" i="1"/>
  <c r="M125" i="1"/>
  <c r="W124" i="1"/>
  <c r="S124" i="1"/>
  <c r="N124" i="1"/>
  <c r="M124" i="1"/>
  <c r="W123" i="1"/>
  <c r="Q123" i="1"/>
  <c r="S123" i="1" s="1"/>
  <c r="N123" i="1"/>
  <c r="M123" i="1"/>
  <c r="W122" i="1"/>
  <c r="X122" i="1" s="1"/>
  <c r="Y122" i="1" s="1"/>
  <c r="T122" i="1"/>
  <c r="S122" i="1"/>
  <c r="N122" i="1"/>
  <c r="M122" i="1"/>
  <c r="U121" i="1"/>
  <c r="W121" i="1" s="1"/>
  <c r="Q121" i="1"/>
  <c r="S121" i="1" s="1"/>
  <c r="N121" i="1"/>
  <c r="M121" i="1"/>
  <c r="J121" i="1"/>
  <c r="AH120" i="1"/>
  <c r="Y120" i="1"/>
  <c r="X120" i="1"/>
  <c r="W120" i="1"/>
  <c r="T120" i="1"/>
  <c r="S120" i="1"/>
  <c r="N120" i="1"/>
  <c r="M120" i="1"/>
  <c r="W119" i="1"/>
  <c r="S119" i="1"/>
  <c r="Q119" i="1"/>
  <c r="N119" i="1"/>
  <c r="M119" i="1"/>
  <c r="J119" i="1"/>
  <c r="Y118" i="1"/>
  <c r="X118" i="1"/>
  <c r="W118" i="1"/>
  <c r="T118" i="1"/>
  <c r="S118" i="1"/>
  <c r="N118" i="1"/>
  <c r="M118" i="1"/>
  <c r="AH117" i="1"/>
  <c r="Y117" i="1"/>
  <c r="X117" i="1"/>
  <c r="W117" i="1"/>
  <c r="T117" i="1"/>
  <c r="S117" i="1"/>
  <c r="N117" i="1"/>
  <c r="M117" i="1"/>
  <c r="J117" i="1"/>
  <c r="AH116" i="1"/>
  <c r="W116" i="1"/>
  <c r="S116" i="1"/>
  <c r="T116" i="1" s="1"/>
  <c r="N116" i="1"/>
  <c r="M116" i="1"/>
  <c r="J116" i="1"/>
  <c r="AH115" i="1"/>
  <c r="AF115" i="1"/>
  <c r="W115" i="1"/>
  <c r="T115" i="1"/>
  <c r="S115" i="1"/>
  <c r="X115" i="1" s="1"/>
  <c r="Y115" i="1" s="1"/>
  <c r="N115" i="1"/>
  <c r="M115" i="1"/>
  <c r="J115" i="1"/>
  <c r="AH114" i="1"/>
  <c r="W114" i="1"/>
  <c r="S114" i="1"/>
  <c r="X114" i="1" s="1"/>
  <c r="Y114" i="1" s="1"/>
  <c r="N114" i="1"/>
  <c r="M114" i="1"/>
  <c r="J114" i="1"/>
  <c r="AH113" i="1"/>
  <c r="W113" i="1"/>
  <c r="T113" i="1"/>
  <c r="S113" i="1"/>
  <c r="X113" i="1" s="1"/>
  <c r="Y113" i="1" s="1"/>
  <c r="N113" i="1"/>
  <c r="M113" i="1"/>
  <c r="AH112" i="1"/>
  <c r="AF112" i="1"/>
  <c r="W112" i="1"/>
  <c r="X112" i="1" s="1"/>
  <c r="Y112" i="1" s="1"/>
  <c r="T112" i="1"/>
  <c r="S112" i="1"/>
  <c r="N112" i="1"/>
  <c r="M112" i="1"/>
  <c r="J112" i="1"/>
  <c r="AH111" i="1"/>
  <c r="AF111" i="1"/>
  <c r="Y111" i="1"/>
  <c r="X111" i="1"/>
  <c r="W111" i="1"/>
  <c r="T111" i="1"/>
  <c r="S111" i="1"/>
  <c r="N111" i="1"/>
  <c r="M111" i="1"/>
  <c r="AH110" i="1"/>
  <c r="Y110" i="1"/>
  <c r="X110" i="1"/>
  <c r="W110" i="1"/>
  <c r="T110" i="1"/>
  <c r="S110" i="1"/>
  <c r="N110" i="1"/>
  <c r="M110" i="1"/>
  <c r="AH109" i="1"/>
  <c r="Y109" i="1"/>
  <c r="X109" i="1"/>
  <c r="W109" i="1"/>
  <c r="T109" i="1"/>
  <c r="S109" i="1"/>
  <c r="N109" i="1"/>
  <c r="M109" i="1"/>
  <c r="J109" i="1"/>
  <c r="AH108" i="1"/>
  <c r="AF108" i="1"/>
  <c r="X108" i="1"/>
  <c r="Y108" i="1" s="1"/>
  <c r="W108" i="1"/>
  <c r="T108" i="1"/>
  <c r="S108" i="1"/>
  <c r="N108" i="1"/>
  <c r="M108" i="1"/>
  <c r="J108" i="1"/>
  <c r="AH107" i="1"/>
  <c r="AF107" i="1"/>
  <c r="AA107" i="1"/>
  <c r="W107" i="1"/>
  <c r="T107" i="1"/>
  <c r="S107" i="1"/>
  <c r="X107" i="1" s="1"/>
  <c r="Y107" i="1" s="1"/>
  <c r="N107" i="1"/>
  <c r="M107" i="1"/>
  <c r="J107" i="1"/>
  <c r="AH106" i="1"/>
  <c r="AA106" i="1"/>
  <c r="W106" i="1"/>
  <c r="S106" i="1"/>
  <c r="N106" i="1"/>
  <c r="M106" i="1"/>
  <c r="J106" i="1"/>
  <c r="AH105" i="1"/>
  <c r="AA105" i="1"/>
  <c r="W105" i="1"/>
  <c r="S105" i="1"/>
  <c r="T105" i="1" s="1"/>
  <c r="R105" i="1"/>
  <c r="N105" i="1"/>
  <c r="M105" i="1"/>
  <c r="J105" i="1"/>
  <c r="AH104" i="1"/>
  <c r="AA104" i="1"/>
  <c r="W104" i="1"/>
  <c r="S104" i="1"/>
  <c r="X104" i="1" s="1"/>
  <c r="Y104" i="1" s="1"/>
  <c r="M104" i="1"/>
  <c r="K104" i="1"/>
  <c r="N104" i="1" s="1"/>
  <c r="AH103" i="1"/>
  <c r="AA103" i="1"/>
  <c r="W103" i="1"/>
  <c r="X103" i="1" s="1"/>
  <c r="Y103" i="1" s="1"/>
  <c r="T103" i="1"/>
  <c r="S103" i="1"/>
  <c r="N103" i="1"/>
  <c r="M103" i="1"/>
  <c r="J103" i="1"/>
  <c r="AH102" i="1"/>
  <c r="AA102" i="1"/>
  <c r="Y102" i="1"/>
  <c r="X102" i="1"/>
  <c r="W102" i="1"/>
  <c r="T102" i="1"/>
  <c r="S102" i="1"/>
  <c r="N102" i="1"/>
  <c r="M102" i="1"/>
  <c r="J102" i="1"/>
  <c r="AH101" i="1"/>
  <c r="AF101" i="1"/>
  <c r="AA101" i="1"/>
  <c r="W101" i="1"/>
  <c r="U101" i="1"/>
  <c r="S101" i="1"/>
  <c r="X101" i="1" s="1"/>
  <c r="Y101" i="1" s="1"/>
  <c r="R101" i="1"/>
  <c r="M101" i="1"/>
  <c r="J101" i="1"/>
  <c r="K101" i="1" s="1"/>
  <c r="N101" i="1" s="1"/>
  <c r="AH100" i="1"/>
  <c r="AA100" i="1"/>
  <c r="Y100" i="1"/>
  <c r="X100" i="1"/>
  <c r="W100" i="1"/>
  <c r="T100" i="1"/>
  <c r="S100" i="1"/>
  <c r="N100" i="1"/>
  <c r="M100" i="1"/>
  <c r="J100" i="1"/>
  <c r="AA99" i="1"/>
  <c r="W99" i="1"/>
  <c r="V99" i="1"/>
  <c r="T99" i="1"/>
  <c r="S99" i="1"/>
  <c r="X99" i="1" s="1"/>
  <c r="Y99" i="1" s="1"/>
  <c r="N99" i="1"/>
  <c r="M99" i="1"/>
  <c r="AA98" i="1"/>
  <c r="X98" i="1"/>
  <c r="Y98" i="1" s="1"/>
  <c r="V98" i="1"/>
  <c r="W98" i="1" s="1"/>
  <c r="T98" i="1"/>
  <c r="S98" i="1"/>
  <c r="N98" i="1"/>
  <c r="M98" i="1"/>
  <c r="AA97" i="1"/>
  <c r="W97" i="1"/>
  <c r="V97" i="1"/>
  <c r="S97" i="1"/>
  <c r="N97" i="1"/>
  <c r="M97" i="1"/>
  <c r="AA96" i="1"/>
  <c r="X96" i="1"/>
  <c r="Y96" i="1" s="1"/>
  <c r="W96" i="1"/>
  <c r="V96" i="1"/>
  <c r="T96" i="1"/>
  <c r="S96" i="1"/>
  <c r="N96" i="1"/>
  <c r="M96" i="1"/>
  <c r="AH95" i="1"/>
  <c r="AA95" i="1"/>
  <c r="W95" i="1"/>
  <c r="X95" i="1" s="1"/>
  <c r="Y95" i="1" s="1"/>
  <c r="T95" i="1"/>
  <c r="S95" i="1"/>
  <c r="N95" i="1"/>
  <c r="M95" i="1"/>
  <c r="J95" i="1"/>
  <c r="AH94" i="1"/>
  <c r="AA94" i="1"/>
  <c r="Y94" i="1"/>
  <c r="X94" i="1"/>
  <c r="W94" i="1"/>
  <c r="T94" i="1"/>
  <c r="S94" i="1"/>
  <c r="N94" i="1"/>
  <c r="M94" i="1"/>
  <c r="AH93" i="1"/>
  <c r="AA93" i="1"/>
  <c r="W93" i="1"/>
  <c r="S93" i="1"/>
  <c r="T93" i="1" s="1"/>
  <c r="N93" i="1"/>
  <c r="M93" i="1"/>
  <c r="J93" i="1"/>
  <c r="AH92" i="1"/>
  <c r="AA92" i="1"/>
  <c r="W92" i="1"/>
  <c r="T92" i="1"/>
  <c r="S92" i="1"/>
  <c r="X92" i="1" s="1"/>
  <c r="Y92" i="1" s="1"/>
  <c r="N92" i="1"/>
  <c r="M92" i="1"/>
  <c r="J92" i="1"/>
  <c r="AH91" i="1"/>
  <c r="AA91" i="1"/>
  <c r="W91" i="1"/>
  <c r="T91" i="1"/>
  <c r="S91" i="1"/>
  <c r="X91" i="1" s="1"/>
  <c r="Y91" i="1" s="1"/>
  <c r="N91" i="1"/>
  <c r="M91" i="1"/>
  <c r="AH90" i="1"/>
  <c r="AA90" i="1"/>
  <c r="W90" i="1"/>
  <c r="X90" i="1" s="1"/>
  <c r="Y90" i="1" s="1"/>
  <c r="T90" i="1"/>
  <c r="S90" i="1"/>
  <c r="N90" i="1"/>
  <c r="M90" i="1"/>
  <c r="K90" i="1"/>
  <c r="J90" i="1"/>
  <c r="AH89" i="1"/>
  <c r="AF89" i="1"/>
  <c r="AA89" i="1"/>
  <c r="V89" i="1"/>
  <c r="W89" i="1" s="1"/>
  <c r="X89" i="1" s="1"/>
  <c r="Y89" i="1" s="1"/>
  <c r="T89" i="1"/>
  <c r="S89" i="1"/>
  <c r="N89" i="1"/>
  <c r="M89" i="1"/>
  <c r="AH88" i="1"/>
  <c r="AA88" i="1"/>
  <c r="W88" i="1"/>
  <c r="S88" i="1"/>
  <c r="N88" i="1"/>
  <c r="M88" i="1"/>
  <c r="AA87" i="1"/>
  <c r="W87" i="1"/>
  <c r="S87" i="1"/>
  <c r="N87" i="1"/>
  <c r="M87" i="1"/>
  <c r="J87" i="1"/>
  <c r="AH86" i="1"/>
  <c r="AA86" i="1"/>
  <c r="W86" i="1"/>
  <c r="X86" i="1" s="1"/>
  <c r="Y86" i="1" s="1"/>
  <c r="T86" i="1"/>
  <c r="S86" i="1"/>
  <c r="N86" i="1"/>
  <c r="M86" i="1"/>
  <c r="J86" i="1"/>
  <c r="AH85" i="1"/>
  <c r="AA85" i="1"/>
  <c r="Y85" i="1"/>
  <c r="X85" i="1"/>
  <c r="W85" i="1"/>
  <c r="T85" i="1"/>
  <c r="S85" i="1"/>
  <c r="N85" i="1"/>
  <c r="M85" i="1"/>
  <c r="J85" i="1"/>
  <c r="AH84" i="1"/>
  <c r="AA84" i="1"/>
  <c r="V84" i="1"/>
  <c r="W84" i="1" s="1"/>
  <c r="X84" i="1" s="1"/>
  <c r="Y84" i="1" s="1"/>
  <c r="T84" i="1"/>
  <c r="S84" i="1"/>
  <c r="N84" i="1"/>
  <c r="M84" i="1"/>
  <c r="AH83" i="1"/>
  <c r="AA83" i="1"/>
  <c r="W83" i="1"/>
  <c r="S83" i="1"/>
  <c r="N83" i="1"/>
  <c r="M83" i="1"/>
  <c r="J83" i="1"/>
  <c r="AH82" i="1"/>
  <c r="AA82" i="1"/>
  <c r="W82" i="1"/>
  <c r="X82" i="1" s="1"/>
  <c r="Y82" i="1" s="1"/>
  <c r="T82" i="1"/>
  <c r="S82" i="1"/>
  <c r="N82" i="1"/>
  <c r="M82" i="1"/>
  <c r="J82" i="1"/>
  <c r="AH81" i="1"/>
  <c r="AA81" i="1"/>
  <c r="X81" i="1"/>
  <c r="Y81" i="1" s="1"/>
  <c r="W81" i="1"/>
  <c r="T81" i="1"/>
  <c r="S81" i="1"/>
  <c r="N81" i="1"/>
  <c r="M81" i="1"/>
  <c r="J81" i="1"/>
  <c r="AH80" i="1"/>
  <c r="W80" i="1"/>
  <c r="S80" i="1"/>
  <c r="N80" i="1"/>
  <c r="M80" i="1"/>
  <c r="J80" i="1"/>
  <c r="AH79" i="1"/>
  <c r="AA79" i="1"/>
  <c r="W79" i="1"/>
  <c r="T79" i="1"/>
  <c r="S79" i="1"/>
  <c r="N79" i="1"/>
  <c r="M79" i="1"/>
  <c r="J79" i="1"/>
  <c r="AA78" i="1"/>
  <c r="X78" i="1"/>
  <c r="Y78" i="1" s="1"/>
  <c r="W78" i="1"/>
  <c r="V78" i="1"/>
  <c r="T78" i="1"/>
  <c r="S78" i="1"/>
  <c r="N78" i="1"/>
  <c r="M78" i="1"/>
  <c r="AA77" i="1"/>
  <c r="V77" i="1"/>
  <c r="W77" i="1" s="1"/>
  <c r="X77" i="1" s="1"/>
  <c r="Y77" i="1" s="1"/>
  <c r="T77" i="1"/>
  <c r="S77" i="1"/>
  <c r="N77" i="1"/>
  <c r="M77" i="1"/>
  <c r="AA76" i="1"/>
  <c r="V76" i="1"/>
  <c r="W76" i="1" s="1"/>
  <c r="S76" i="1"/>
  <c r="N76" i="1"/>
  <c r="M76" i="1"/>
  <c r="AH75" i="1"/>
  <c r="AF75" i="1"/>
  <c r="AA75" i="1"/>
  <c r="W75" i="1"/>
  <c r="S75" i="1"/>
  <c r="N75" i="1"/>
  <c r="M75" i="1"/>
  <c r="AH74" i="1"/>
  <c r="AA74" i="1"/>
  <c r="X74" i="1"/>
  <c r="Y74" i="1" s="1"/>
  <c r="W74" i="1"/>
  <c r="T74" i="1"/>
  <c r="S74" i="1"/>
  <c r="N74" i="1"/>
  <c r="M74" i="1"/>
  <c r="AH73" i="1"/>
  <c r="AA73" i="1"/>
  <c r="W73" i="1"/>
  <c r="T73" i="1"/>
  <c r="S73" i="1"/>
  <c r="X73" i="1" s="1"/>
  <c r="Y73" i="1" s="1"/>
  <c r="N73" i="1"/>
  <c r="M73" i="1"/>
  <c r="AH72" i="1"/>
  <c r="AA72" i="1"/>
  <c r="X72" i="1"/>
  <c r="Y72" i="1" s="1"/>
  <c r="W72" i="1"/>
  <c r="S72" i="1"/>
  <c r="T72" i="1" s="1"/>
  <c r="N72" i="1"/>
  <c r="M72" i="1"/>
  <c r="K72" i="1"/>
  <c r="J72" i="1"/>
  <c r="AH71" i="1"/>
  <c r="AA71" i="1"/>
  <c r="W71" i="1"/>
  <c r="S71" i="1"/>
  <c r="T71" i="1" s="1"/>
  <c r="N71" i="1"/>
  <c r="M71" i="1"/>
  <c r="AH70" i="1"/>
  <c r="AA70" i="1"/>
  <c r="Y70" i="1"/>
  <c r="X70" i="1"/>
  <c r="W70" i="1"/>
  <c r="T70" i="1"/>
  <c r="S70" i="1"/>
  <c r="N70" i="1"/>
  <c r="M70" i="1"/>
  <c r="J70" i="1"/>
  <c r="AH69" i="1"/>
  <c r="AA69" i="1"/>
  <c r="X69" i="1"/>
  <c r="Y69" i="1" s="1"/>
  <c r="W69" i="1"/>
  <c r="T69" i="1"/>
  <c r="S69" i="1"/>
  <c r="N69" i="1"/>
  <c r="M69" i="1"/>
  <c r="J69" i="1"/>
  <c r="AH68" i="1"/>
  <c r="AF68" i="1"/>
  <c r="AA68" i="1"/>
  <c r="X68" i="1"/>
  <c r="Y68" i="1" s="1"/>
  <c r="W68" i="1"/>
  <c r="T68" i="1"/>
  <c r="S68" i="1"/>
  <c r="N68" i="1"/>
  <c r="M68" i="1"/>
  <c r="J68" i="1"/>
  <c r="AH67" i="1"/>
  <c r="AA67" i="1"/>
  <c r="W67" i="1"/>
  <c r="S67" i="1"/>
  <c r="T67" i="1" s="1"/>
  <c r="N67" i="1"/>
  <c r="M67" i="1"/>
  <c r="J67" i="1"/>
  <c r="AH66" i="1"/>
  <c r="AF66" i="1"/>
  <c r="AA66" i="1"/>
  <c r="X66" i="1"/>
  <c r="Y66" i="1" s="1"/>
  <c r="W66" i="1"/>
  <c r="S66" i="1"/>
  <c r="T66" i="1" s="1"/>
  <c r="N66" i="1"/>
  <c r="M66" i="1"/>
  <c r="AH65" i="1"/>
  <c r="AF65" i="1"/>
  <c r="AA65" i="1"/>
  <c r="X65" i="1"/>
  <c r="Y65" i="1" s="1"/>
  <c r="W65" i="1"/>
  <c r="S65" i="1"/>
  <c r="T65" i="1" s="1"/>
  <c r="N65" i="1"/>
  <c r="M65" i="1"/>
  <c r="AH64" i="1"/>
  <c r="AA64" i="1"/>
  <c r="W64" i="1"/>
  <c r="S64" i="1"/>
  <c r="X64" i="1" s="1"/>
  <c r="Y64" i="1" s="1"/>
  <c r="N64" i="1"/>
  <c r="M64" i="1"/>
  <c r="AH63" i="1"/>
  <c r="AA63" i="1"/>
  <c r="Y63" i="1"/>
  <c r="W63" i="1"/>
  <c r="X63" i="1" s="1"/>
  <c r="T63" i="1"/>
  <c r="S63" i="1"/>
  <c r="N63" i="1"/>
  <c r="M63" i="1"/>
  <c r="AH62" i="1"/>
  <c r="AA62" i="1"/>
  <c r="X62" i="1"/>
  <c r="Y62" i="1" s="1"/>
  <c r="W62" i="1"/>
  <c r="S62" i="1"/>
  <c r="T62" i="1" s="1"/>
  <c r="N62" i="1"/>
  <c r="M62" i="1"/>
  <c r="J62" i="1"/>
  <c r="AH61" i="1"/>
  <c r="AA61" i="1"/>
  <c r="W61" i="1"/>
  <c r="S61" i="1"/>
  <c r="N61" i="1"/>
  <c r="M61" i="1"/>
  <c r="J61" i="1"/>
  <c r="AH60" i="1"/>
  <c r="AF60" i="1"/>
  <c r="AA60" i="1"/>
  <c r="W60" i="1"/>
  <c r="S60" i="1"/>
  <c r="T60" i="1" s="1"/>
  <c r="N60" i="1"/>
  <c r="M60" i="1"/>
  <c r="AH59" i="1"/>
  <c r="AF59" i="1"/>
  <c r="AA59" i="1"/>
  <c r="W59" i="1"/>
  <c r="X59" i="1" s="1"/>
  <c r="Y59" i="1" s="1"/>
  <c r="T59" i="1"/>
  <c r="S59" i="1"/>
  <c r="N59" i="1"/>
  <c r="M59" i="1"/>
  <c r="AH58" i="1"/>
  <c r="AF58" i="1"/>
  <c r="AA58" i="1"/>
  <c r="X58" i="1"/>
  <c r="Y58" i="1" s="1"/>
  <c r="W58" i="1"/>
  <c r="T58" i="1"/>
  <c r="S58" i="1"/>
  <c r="N58" i="1"/>
  <c r="M58" i="1"/>
  <c r="J58" i="1"/>
  <c r="AH57" i="1"/>
  <c r="AA57" i="1"/>
  <c r="X57" i="1"/>
  <c r="Y57" i="1" s="1"/>
  <c r="W57" i="1"/>
  <c r="S57" i="1"/>
  <c r="T57" i="1" s="1"/>
  <c r="N57" i="1"/>
  <c r="M57" i="1"/>
  <c r="AH56" i="1"/>
  <c r="AA56" i="1"/>
  <c r="W56" i="1"/>
  <c r="T56" i="1"/>
  <c r="S56" i="1"/>
  <c r="N56" i="1"/>
  <c r="M56" i="1"/>
  <c r="J56" i="1"/>
  <c r="AH55" i="1"/>
  <c r="W55" i="1"/>
  <c r="X55" i="1" s="1"/>
  <c r="Y55" i="1" s="1"/>
  <c r="S55" i="1"/>
  <c r="T55" i="1" s="1"/>
  <c r="N55" i="1"/>
  <c r="M55" i="1"/>
  <c r="J55" i="1"/>
  <c r="AH54" i="1"/>
  <c r="AA54" i="1"/>
  <c r="W54" i="1"/>
  <c r="X54" i="1" s="1"/>
  <c r="Y54" i="1" s="1"/>
  <c r="T54" i="1"/>
  <c r="S54" i="1"/>
  <c r="N54" i="1"/>
  <c r="M54" i="1"/>
  <c r="AH53" i="1"/>
  <c r="AA53" i="1"/>
  <c r="W53" i="1"/>
  <c r="X53" i="1" s="1"/>
  <c r="Y53" i="1" s="1"/>
  <c r="S53" i="1"/>
  <c r="T53" i="1" s="1"/>
  <c r="N53" i="1"/>
  <c r="M53" i="1"/>
  <c r="J53" i="1"/>
  <c r="AH52" i="1"/>
  <c r="AA52" i="1"/>
  <c r="W52" i="1"/>
  <c r="S52" i="1"/>
  <c r="N52" i="1"/>
  <c r="M52" i="1"/>
  <c r="J52" i="1"/>
  <c r="AH51" i="1"/>
  <c r="AA51" i="1"/>
  <c r="W51" i="1"/>
  <c r="T51" i="1"/>
  <c r="S51" i="1"/>
  <c r="N51" i="1"/>
  <c r="M51" i="1"/>
  <c r="AH50" i="1"/>
  <c r="AA50" i="1"/>
  <c r="W50" i="1"/>
  <c r="X50" i="1" s="1"/>
  <c r="Y50" i="1" s="1"/>
  <c r="S50" i="1"/>
  <c r="T50" i="1" s="1"/>
  <c r="N50" i="1"/>
  <c r="M50" i="1"/>
  <c r="AH49" i="1"/>
  <c r="W49" i="1"/>
  <c r="S49" i="1"/>
  <c r="T49" i="1" s="1"/>
  <c r="N49" i="1"/>
  <c r="M49" i="1"/>
  <c r="J49" i="1"/>
  <c r="AA48" i="1"/>
  <c r="V48" i="1"/>
  <c r="W48" i="1" s="1"/>
  <c r="X48" i="1" s="1"/>
  <c r="Y48" i="1" s="1"/>
  <c r="T48" i="1"/>
  <c r="S48" i="1"/>
  <c r="N48" i="1"/>
  <c r="M48" i="1"/>
  <c r="AH47" i="1"/>
  <c r="AA47" i="1"/>
  <c r="W47" i="1"/>
  <c r="S47" i="1"/>
  <c r="T47" i="1" s="1"/>
  <c r="N47" i="1"/>
  <c r="M47" i="1"/>
  <c r="AH46" i="1"/>
  <c r="AA46" i="1"/>
  <c r="X46" i="1"/>
  <c r="Y46" i="1" s="1"/>
  <c r="W46" i="1"/>
  <c r="T46" i="1"/>
  <c r="S46" i="1"/>
  <c r="M46" i="1"/>
  <c r="J46" i="1"/>
  <c r="K46" i="1" s="1"/>
  <c r="N46" i="1" s="1"/>
  <c r="AH45" i="1"/>
  <c r="AA45" i="1"/>
  <c r="Y45" i="1"/>
  <c r="W45" i="1"/>
  <c r="X45" i="1" s="1"/>
  <c r="T45" i="1"/>
  <c r="S45" i="1"/>
  <c r="N45" i="1"/>
  <c r="M45" i="1"/>
  <c r="J45" i="1"/>
  <c r="AH44" i="1"/>
  <c r="AA44" i="1"/>
  <c r="X44" i="1"/>
  <c r="Y44" i="1" s="1"/>
  <c r="W44" i="1"/>
  <c r="T44" i="1"/>
  <c r="S44" i="1"/>
  <c r="N44" i="1"/>
  <c r="M44" i="1"/>
  <c r="AH43" i="1"/>
  <c r="AA43" i="1"/>
  <c r="Y43" i="1"/>
  <c r="W43" i="1"/>
  <c r="X43" i="1" s="1"/>
  <c r="T43" i="1"/>
  <c r="S43" i="1"/>
  <c r="M43" i="1"/>
  <c r="K43" i="1"/>
  <c r="N43" i="1" s="1"/>
  <c r="AH42" i="1"/>
  <c r="AA42" i="1"/>
  <c r="X42" i="1"/>
  <c r="Y42" i="1" s="1"/>
  <c r="W42" i="1"/>
  <c r="T42" i="1"/>
  <c r="S42" i="1"/>
  <c r="N42" i="1"/>
  <c r="M42" i="1"/>
  <c r="J42" i="1"/>
  <c r="AH41" i="1"/>
  <c r="AA41" i="1"/>
  <c r="W41" i="1"/>
  <c r="S41" i="1"/>
  <c r="X41" i="1" s="1"/>
  <c r="Y41" i="1" s="1"/>
  <c r="N41" i="1"/>
  <c r="M41" i="1"/>
  <c r="AH40" i="1"/>
  <c r="AA40" i="1"/>
  <c r="Y40" i="1"/>
  <c r="W40" i="1"/>
  <c r="X40" i="1" s="1"/>
  <c r="T40" i="1"/>
  <c r="S40" i="1"/>
  <c r="N40" i="1"/>
  <c r="M40" i="1"/>
  <c r="J40" i="1"/>
  <c r="K40" i="1" s="1"/>
  <c r="AH39" i="1"/>
  <c r="AA39" i="1"/>
  <c r="W39" i="1"/>
  <c r="X39" i="1" s="1"/>
  <c r="Y39" i="1" s="1"/>
  <c r="T39" i="1"/>
  <c r="S39" i="1"/>
  <c r="N39" i="1"/>
  <c r="M39" i="1"/>
  <c r="K39" i="1"/>
  <c r="J39" i="1"/>
  <c r="AH38" i="1"/>
  <c r="AA38" i="1"/>
  <c r="W38" i="1"/>
  <c r="S38" i="1"/>
  <c r="N38" i="1"/>
  <c r="M38" i="1"/>
  <c r="J38" i="1"/>
  <c r="AH37" i="1"/>
  <c r="AA37" i="1"/>
  <c r="Y37" i="1"/>
  <c r="W37" i="1"/>
  <c r="X37" i="1" s="1"/>
  <c r="T37" i="1"/>
  <c r="S37" i="1"/>
  <c r="N37" i="1"/>
  <c r="M37" i="1"/>
  <c r="J37" i="1"/>
  <c r="K37" i="1" s="1"/>
  <c r="AH36" i="1"/>
  <c r="AA36" i="1"/>
  <c r="W36" i="1"/>
  <c r="X36" i="1" s="1"/>
  <c r="Y36" i="1" s="1"/>
  <c r="T36" i="1"/>
  <c r="S36" i="1"/>
  <c r="N36" i="1"/>
  <c r="M36" i="1"/>
  <c r="AH35" i="1"/>
  <c r="AA35" i="1"/>
  <c r="W35" i="1"/>
  <c r="X35" i="1" s="1"/>
  <c r="Y35" i="1" s="1"/>
  <c r="S35" i="1"/>
  <c r="T35" i="1" s="1"/>
  <c r="N35" i="1"/>
  <c r="M35" i="1"/>
  <c r="AH34" i="1"/>
  <c r="AA34" i="1"/>
  <c r="W34" i="1"/>
  <c r="S34" i="1"/>
  <c r="X34" i="1" s="1"/>
  <c r="Y34" i="1" s="1"/>
  <c r="N34" i="1"/>
  <c r="M34" i="1"/>
  <c r="AH33" i="1"/>
  <c r="AA33" i="1"/>
  <c r="W33" i="1"/>
  <c r="S33" i="1"/>
  <c r="N33" i="1"/>
  <c r="M33" i="1"/>
  <c r="J33" i="1"/>
  <c r="AH32" i="1"/>
  <c r="AA32" i="1"/>
  <c r="W32" i="1"/>
  <c r="X32" i="1" s="1"/>
  <c r="Y32" i="1" s="1"/>
  <c r="T32" i="1"/>
  <c r="S32" i="1"/>
  <c r="N32" i="1"/>
  <c r="M32" i="1"/>
  <c r="AH31" i="1"/>
  <c r="AA31" i="1"/>
  <c r="W31" i="1"/>
  <c r="X31" i="1" s="1"/>
  <c r="Y31" i="1" s="1"/>
  <c r="S31" i="1"/>
  <c r="T31" i="1" s="1"/>
  <c r="N31" i="1"/>
  <c r="M31" i="1"/>
  <c r="J31" i="1"/>
  <c r="AH30" i="1"/>
  <c r="AA30" i="1"/>
  <c r="W30" i="1"/>
  <c r="X30" i="1" s="1"/>
  <c r="Y30" i="1" s="1"/>
  <c r="T30" i="1"/>
  <c r="S30" i="1"/>
  <c r="M30" i="1"/>
  <c r="J30" i="1"/>
  <c r="K30" i="1" s="1"/>
  <c r="N30" i="1" s="1"/>
  <c r="AH29" i="1"/>
  <c r="AA29" i="1"/>
  <c r="W29" i="1"/>
  <c r="T29" i="1"/>
  <c r="S29" i="1"/>
  <c r="N29" i="1"/>
  <c r="M29" i="1"/>
  <c r="AH28" i="1"/>
  <c r="AA28" i="1"/>
  <c r="X28" i="1"/>
  <c r="Y28" i="1" s="1"/>
  <c r="W28" i="1"/>
  <c r="T28" i="1"/>
  <c r="S28" i="1"/>
  <c r="N28" i="1"/>
  <c r="M28" i="1"/>
  <c r="AH27" i="1"/>
  <c r="AA27" i="1"/>
  <c r="W27" i="1"/>
  <c r="S27" i="1"/>
  <c r="X27" i="1" s="1"/>
  <c r="Y27" i="1" s="1"/>
  <c r="N27" i="1"/>
  <c r="M27" i="1"/>
  <c r="AA26" i="1"/>
  <c r="W26" i="1"/>
  <c r="V26" i="1"/>
  <c r="S26" i="1"/>
  <c r="X26" i="1" s="1"/>
  <c r="Y26" i="1" s="1"/>
  <c r="N26" i="1"/>
  <c r="M26" i="1"/>
  <c r="AH25" i="1"/>
  <c r="AA25" i="1"/>
  <c r="U25" i="1"/>
  <c r="W25" i="1" s="1"/>
  <c r="S25" i="1"/>
  <c r="N25" i="1"/>
  <c r="M25" i="1"/>
  <c r="AH24" i="1"/>
  <c r="AA24" i="1"/>
  <c r="W24" i="1"/>
  <c r="S24" i="1"/>
  <c r="X24" i="1" s="1"/>
  <c r="Y24" i="1" s="1"/>
  <c r="N24" i="1"/>
  <c r="M24" i="1"/>
  <c r="AH23" i="1"/>
  <c r="AA23" i="1"/>
  <c r="V23" i="1"/>
  <c r="W23" i="1" s="1"/>
  <c r="S23" i="1"/>
  <c r="T23" i="1" s="1"/>
  <c r="R23" i="1"/>
  <c r="R712" i="1" s="1"/>
  <c r="N23" i="1"/>
  <c r="M23" i="1"/>
  <c r="K23" i="1"/>
  <c r="J23" i="1"/>
  <c r="AH22" i="1"/>
  <c r="AA22" i="1"/>
  <c r="W22" i="1"/>
  <c r="X22" i="1" s="1"/>
  <c r="Y22" i="1" s="1"/>
  <c r="T22" i="1"/>
  <c r="S22" i="1"/>
  <c r="N22" i="1"/>
  <c r="M22" i="1"/>
  <c r="AH21" i="1"/>
  <c r="AF21" i="1"/>
  <c r="AA21" i="1"/>
  <c r="W21" i="1"/>
  <c r="S21" i="1"/>
  <c r="X21" i="1" s="1"/>
  <c r="Y21" i="1" s="1"/>
  <c r="N21" i="1"/>
  <c r="M21" i="1"/>
  <c r="AH20" i="1"/>
  <c r="AA20" i="1"/>
  <c r="W20" i="1"/>
  <c r="T20" i="1"/>
  <c r="S20" i="1"/>
  <c r="X20" i="1" s="1"/>
  <c r="Y20" i="1" s="1"/>
  <c r="N20" i="1"/>
  <c r="M20" i="1"/>
  <c r="J20" i="1"/>
  <c r="AH19" i="1"/>
  <c r="AA19" i="1"/>
  <c r="X19" i="1"/>
  <c r="Y19" i="1" s="1"/>
  <c r="W19" i="1"/>
  <c r="T19" i="1"/>
  <c r="S19" i="1"/>
  <c r="N19" i="1"/>
  <c r="M19" i="1"/>
  <c r="J19" i="1"/>
  <c r="AH18" i="1"/>
  <c r="AA18" i="1"/>
  <c r="W18" i="1"/>
  <c r="S18" i="1"/>
  <c r="X18" i="1" s="1"/>
  <c r="Y18" i="1" s="1"/>
  <c r="N18" i="1"/>
  <c r="M18" i="1"/>
  <c r="AH17" i="1"/>
  <c r="AA17" i="1"/>
  <c r="W17" i="1"/>
  <c r="X17" i="1" s="1"/>
  <c r="Y17" i="1" s="1"/>
  <c r="T17" i="1"/>
  <c r="S17" i="1"/>
  <c r="N17" i="1"/>
  <c r="M17" i="1"/>
  <c r="AH16" i="1"/>
  <c r="AA16" i="1"/>
  <c r="W16" i="1"/>
  <c r="X16" i="1" s="1"/>
  <c r="Y16" i="1" s="1"/>
  <c r="S16" i="1"/>
  <c r="T16" i="1" s="1"/>
  <c r="N16" i="1"/>
  <c r="M16" i="1"/>
  <c r="J16" i="1"/>
  <c r="AH15" i="1"/>
  <c r="AA15" i="1"/>
  <c r="W15" i="1"/>
  <c r="T15" i="1"/>
  <c r="S15" i="1"/>
  <c r="X15" i="1" s="1"/>
  <c r="Y15" i="1" s="1"/>
  <c r="M15" i="1"/>
  <c r="J15" i="1"/>
  <c r="K15" i="1" s="1"/>
  <c r="N15" i="1" s="1"/>
  <c r="AH14" i="1"/>
  <c r="AA14" i="1"/>
  <c r="W14" i="1"/>
  <c r="S14" i="1"/>
  <c r="X14" i="1" s="1"/>
  <c r="Y14" i="1" s="1"/>
  <c r="M14" i="1"/>
  <c r="J14" i="1"/>
  <c r="K14" i="1" s="1"/>
  <c r="N14" i="1" s="1"/>
  <c r="AH13" i="1"/>
  <c r="AA13" i="1"/>
  <c r="W13" i="1"/>
  <c r="X13" i="1" s="1"/>
  <c r="Y13" i="1" s="1"/>
  <c r="S13" i="1"/>
  <c r="T13" i="1" s="1"/>
  <c r="N13" i="1"/>
  <c r="M13" i="1"/>
  <c r="AH12" i="1"/>
  <c r="AA12" i="1"/>
  <c r="W12" i="1"/>
  <c r="S12" i="1"/>
  <c r="X12" i="1" s="1"/>
  <c r="Y12" i="1" s="1"/>
  <c r="N12" i="1"/>
  <c r="M12" i="1"/>
  <c r="AH11" i="1"/>
  <c r="AA11" i="1"/>
  <c r="W11" i="1"/>
  <c r="T11" i="1"/>
  <c r="S11" i="1"/>
  <c r="X11" i="1" s="1"/>
  <c r="Y11" i="1" s="1"/>
  <c r="M11" i="1"/>
  <c r="J11" i="1"/>
  <c r="K11" i="1" s="1"/>
  <c r="N11" i="1" s="1"/>
  <c r="AH10" i="1"/>
  <c r="AA10" i="1"/>
  <c r="W10" i="1"/>
  <c r="X10" i="1" s="1"/>
  <c r="Y10" i="1" s="1"/>
  <c r="S10" i="1"/>
  <c r="T10" i="1" s="1"/>
  <c r="N10" i="1"/>
  <c r="M10" i="1"/>
  <c r="K10" i="1"/>
  <c r="J10" i="1"/>
  <c r="AH9" i="1"/>
  <c r="AA9" i="1"/>
  <c r="W9" i="1"/>
  <c r="X9" i="1" s="1"/>
  <c r="Y9" i="1" s="1"/>
  <c r="S9" i="1"/>
  <c r="T9" i="1" s="1"/>
  <c r="N9" i="1"/>
  <c r="M9" i="1"/>
  <c r="J9" i="1"/>
  <c r="AH8" i="1"/>
  <c r="AF8" i="1"/>
  <c r="AA8" i="1"/>
  <c r="W8" i="1"/>
  <c r="S8" i="1"/>
  <c r="T8" i="1" s="1"/>
  <c r="M8" i="1"/>
  <c r="K8" i="1"/>
  <c r="N8" i="1" s="1"/>
  <c r="J8" i="1"/>
  <c r="AH7" i="1"/>
  <c r="AA7" i="1"/>
  <c r="X7" i="1"/>
  <c r="Y7" i="1" s="1"/>
  <c r="W7" i="1"/>
  <c r="S7" i="1"/>
  <c r="T7" i="1" s="1"/>
  <c r="N7" i="1"/>
  <c r="M7" i="1"/>
  <c r="AH6" i="1"/>
  <c r="AF6" i="1"/>
  <c r="AA6" i="1"/>
  <c r="W6" i="1"/>
  <c r="X6" i="1" s="1"/>
  <c r="Y6" i="1" s="1"/>
  <c r="S6" i="1"/>
  <c r="T6" i="1" s="1"/>
  <c r="N6" i="1"/>
  <c r="M6" i="1"/>
  <c r="AA5" i="1"/>
  <c r="W5" i="1"/>
  <c r="U5" i="1"/>
  <c r="S5" i="1"/>
  <c r="X5" i="1" s="1"/>
  <c r="Y5" i="1" s="1"/>
  <c r="N5" i="1"/>
  <c r="M5" i="1"/>
  <c r="J5" i="1"/>
  <c r="AA4" i="1"/>
  <c r="W4" i="1"/>
  <c r="T4" i="1"/>
  <c r="S4" i="1"/>
  <c r="X4" i="1" s="1"/>
  <c r="Y4" i="1" s="1"/>
  <c r="M4" i="1"/>
  <c r="J4" i="1"/>
  <c r="K4" i="1" s="1"/>
  <c r="N4" i="1" s="1"/>
  <c r="AA3" i="1"/>
  <c r="X3" i="1"/>
  <c r="Y3" i="1" s="1"/>
  <c r="W3" i="1"/>
  <c r="T3" i="1"/>
  <c r="S3" i="1"/>
  <c r="N3" i="1"/>
  <c r="M3" i="1"/>
  <c r="AH2" i="1"/>
  <c r="AF2" i="1"/>
  <c r="W2" i="1"/>
  <c r="S2" i="1"/>
  <c r="N2" i="1"/>
  <c r="M2" i="1"/>
  <c r="J2" i="1"/>
  <c r="X25" i="1" l="1"/>
  <c r="Y25" i="1" s="1"/>
  <c r="T75" i="1"/>
  <c r="X75" i="1"/>
  <c r="Y75" i="1" s="1"/>
  <c r="X106" i="1"/>
  <c r="Y106" i="1" s="1"/>
  <c r="T106" i="1"/>
  <c r="X529" i="1"/>
  <c r="Y529" i="1" s="1"/>
  <c r="T529" i="1"/>
  <c r="X625" i="1"/>
  <c r="Y625" i="1" s="1"/>
  <c r="T625" i="1"/>
  <c r="T5" i="1"/>
  <c r="T21" i="1"/>
  <c r="T24" i="1"/>
  <c r="T41" i="1"/>
  <c r="X47" i="1"/>
  <c r="Y47" i="1" s="1"/>
  <c r="X49" i="1"/>
  <c r="Y49" i="1" s="1"/>
  <c r="T61" i="1"/>
  <c r="X61" i="1"/>
  <c r="Y61" i="1" s="1"/>
  <c r="T64" i="1"/>
  <c r="X87" i="1"/>
  <c r="Y87" i="1" s="1"/>
  <c r="T87" i="1"/>
  <c r="X124" i="1"/>
  <c r="Y124" i="1" s="1"/>
  <c r="T124" i="1"/>
  <c r="T144" i="1"/>
  <c r="X152" i="1"/>
  <c r="Y152" i="1" s="1"/>
  <c r="T152" i="1"/>
  <c r="X353" i="1"/>
  <c r="Y353" i="1" s="1"/>
  <c r="T353" i="1"/>
  <c r="T222" i="1"/>
  <c r="X222" i="1"/>
  <c r="Y222" i="1" s="1"/>
  <c r="X232" i="1"/>
  <c r="Y232" i="1" s="1"/>
  <c r="T232" i="1"/>
  <c r="X8" i="1"/>
  <c r="Y8" i="1" s="1"/>
  <c r="T12" i="1"/>
  <c r="U712" i="1"/>
  <c r="X23" i="1"/>
  <c r="Y23" i="1" s="1"/>
  <c r="T25" i="1"/>
  <c r="X60" i="1"/>
  <c r="Y60" i="1" s="1"/>
  <c r="X71" i="1"/>
  <c r="Y71" i="1" s="1"/>
  <c r="X128" i="1"/>
  <c r="Y128" i="1" s="1"/>
  <c r="T128" i="1"/>
  <c r="X179" i="1"/>
  <c r="Y179" i="1" s="1"/>
  <c r="T179" i="1"/>
  <c r="T214" i="1"/>
  <c r="X214" i="1"/>
  <c r="Y214" i="1" s="1"/>
  <c r="V260" i="1"/>
  <c r="W260" i="1" s="1"/>
  <c r="X260" i="1" s="1"/>
  <c r="Y260" i="1" s="1"/>
  <c r="T260" i="1"/>
  <c r="T236" i="1"/>
  <c r="X236" i="1"/>
  <c r="Y236" i="1" s="1"/>
  <c r="X83" i="1"/>
  <c r="Y83" i="1" s="1"/>
  <c r="T83" i="1"/>
  <c r="T26" i="1"/>
  <c r="X33" i="1"/>
  <c r="Y33" i="1" s="1"/>
  <c r="X51" i="1"/>
  <c r="Y51" i="1" s="1"/>
  <c r="X56" i="1"/>
  <c r="Y56" i="1" s="1"/>
  <c r="X121" i="1"/>
  <c r="Y121" i="1" s="1"/>
  <c r="T121" i="1"/>
  <c r="X130" i="1"/>
  <c r="Y130" i="1" s="1"/>
  <c r="T130" i="1"/>
  <c r="X151" i="1"/>
  <c r="Y151" i="1" s="1"/>
  <c r="T151" i="1"/>
  <c r="X178" i="1"/>
  <c r="Y178" i="1" s="1"/>
  <c r="T178" i="1"/>
  <c r="X233" i="1"/>
  <c r="Y233" i="1" s="1"/>
  <c r="T233" i="1"/>
  <c r="T18" i="1"/>
  <c r="T2" i="1"/>
  <c r="T14" i="1"/>
  <c r="T27" i="1"/>
  <c r="X29" i="1"/>
  <c r="Y29" i="1" s="1"/>
  <c r="T33" i="1"/>
  <c r="T34" i="1"/>
  <c r="T52" i="1"/>
  <c r="X52" i="1"/>
  <c r="Y52" i="1" s="1"/>
  <c r="X67" i="1"/>
  <c r="Y67" i="1" s="1"/>
  <c r="X123" i="1"/>
  <c r="Y123" i="1" s="1"/>
  <c r="T123" i="1"/>
  <c r="X126" i="1"/>
  <c r="Y126" i="1" s="1"/>
  <c r="T126" i="1"/>
  <c r="X159" i="1"/>
  <c r="Y159" i="1" s="1"/>
  <c r="T159" i="1"/>
  <c r="X76" i="1"/>
  <c r="Y76" i="1" s="1"/>
  <c r="T76" i="1"/>
  <c r="W712" i="1"/>
  <c r="T38" i="1"/>
  <c r="X38" i="1"/>
  <c r="Y38" i="1" s="1"/>
  <c r="X79" i="1"/>
  <c r="Y79" i="1" s="1"/>
  <c r="X88" i="1"/>
  <c r="Y88" i="1" s="1"/>
  <c r="T88" i="1"/>
  <c r="X97" i="1"/>
  <c r="Y97" i="1" s="1"/>
  <c r="T97" i="1"/>
  <c r="X247" i="1"/>
  <c r="Y247" i="1" s="1"/>
  <c r="T247" i="1"/>
  <c r="X2" i="1"/>
  <c r="T80" i="1"/>
  <c r="X80" i="1"/>
  <c r="Y80" i="1" s="1"/>
  <c r="X119" i="1"/>
  <c r="Y119" i="1" s="1"/>
  <c r="T119" i="1"/>
  <c r="X168" i="1"/>
  <c r="Y168" i="1" s="1"/>
  <c r="T168" i="1"/>
  <c r="X272" i="1"/>
  <c r="Y272" i="1" s="1"/>
  <c r="T272" i="1"/>
  <c r="X93" i="1"/>
  <c r="Y93" i="1" s="1"/>
  <c r="X105" i="1"/>
  <c r="Y105" i="1" s="1"/>
  <c r="X116" i="1"/>
  <c r="Y116" i="1" s="1"/>
  <c r="X135" i="1"/>
  <c r="Y135" i="1" s="1"/>
  <c r="X137" i="1"/>
  <c r="Y137" i="1" s="1"/>
  <c r="X139" i="1"/>
  <c r="Y139" i="1" s="1"/>
  <c r="X143" i="1"/>
  <c r="Y143" i="1" s="1"/>
  <c r="X145" i="1"/>
  <c r="Y145" i="1" s="1"/>
  <c r="X146" i="1"/>
  <c r="Y146" i="1" s="1"/>
  <c r="X165" i="1"/>
  <c r="Y165" i="1" s="1"/>
  <c r="X166" i="1"/>
  <c r="Y166" i="1" s="1"/>
  <c r="X176" i="1"/>
  <c r="Y176" i="1" s="1"/>
  <c r="X182" i="1"/>
  <c r="Y182" i="1" s="1"/>
  <c r="X186" i="1"/>
  <c r="Y186" i="1" s="1"/>
  <c r="X187" i="1"/>
  <c r="Y187" i="1" s="1"/>
  <c r="X188" i="1"/>
  <c r="Y188" i="1" s="1"/>
  <c r="X206" i="1"/>
  <c r="Y206" i="1" s="1"/>
  <c r="X230" i="1"/>
  <c r="Y230" i="1" s="1"/>
  <c r="X239" i="1"/>
  <c r="Y239" i="1" s="1"/>
  <c r="T239" i="1"/>
  <c r="X242" i="1"/>
  <c r="Y242" i="1" s="1"/>
  <c r="X299" i="1"/>
  <c r="Y299" i="1" s="1"/>
  <c r="T299" i="1"/>
  <c r="X338" i="1"/>
  <c r="Y338" i="1" s="1"/>
  <c r="T338" i="1"/>
  <c r="X388" i="1"/>
  <c r="Y388" i="1" s="1"/>
  <c r="T388" i="1"/>
  <c r="X486" i="1"/>
  <c r="Y486" i="1" s="1"/>
  <c r="T486" i="1"/>
  <c r="X235" i="1"/>
  <c r="Y235" i="1" s="1"/>
  <c r="T235" i="1"/>
  <c r="X244" i="1"/>
  <c r="Y244" i="1" s="1"/>
  <c r="T244" i="1"/>
  <c r="X332" i="1"/>
  <c r="Y332" i="1" s="1"/>
  <c r="T332" i="1"/>
  <c r="X238" i="1"/>
  <c r="Y238" i="1" s="1"/>
  <c r="T238" i="1"/>
  <c r="X271" i="1"/>
  <c r="Y271" i="1" s="1"/>
  <c r="T271" i="1"/>
  <c r="X337" i="1"/>
  <c r="Y337" i="1" s="1"/>
  <c r="T337" i="1"/>
  <c r="X461" i="1"/>
  <c r="Y461" i="1" s="1"/>
  <c r="T461" i="1"/>
  <c r="T101" i="1"/>
  <c r="T104" i="1"/>
  <c r="T114" i="1"/>
  <c r="T127" i="1"/>
  <c r="T129" i="1"/>
  <c r="T131" i="1"/>
  <c r="T133" i="1"/>
  <c r="T155" i="1"/>
  <c r="T163" i="1"/>
  <c r="T173" i="1"/>
  <c r="X192" i="1"/>
  <c r="Y192" i="1" s="1"/>
  <c r="T199" i="1"/>
  <c r="X202" i="1"/>
  <c r="Y202" i="1" s="1"/>
  <c r="X209" i="1"/>
  <c r="Y209" i="1" s="1"/>
  <c r="X243" i="1"/>
  <c r="Y243" i="1" s="1"/>
  <c r="T243" i="1"/>
  <c r="X257" i="1"/>
  <c r="Y257" i="1" s="1"/>
  <c r="X282" i="1"/>
  <c r="Y282" i="1" s="1"/>
  <c r="X301" i="1"/>
  <c r="Y301" i="1" s="1"/>
  <c r="T301" i="1"/>
  <c r="T348" i="1"/>
  <c r="X348" i="1"/>
  <c r="Y348" i="1" s="1"/>
  <c r="T192" i="1"/>
  <c r="T202" i="1"/>
  <c r="X205" i="1"/>
  <c r="Y205" i="1" s="1"/>
  <c r="X208" i="1"/>
  <c r="Y208" i="1" s="1"/>
  <c r="X252" i="1"/>
  <c r="Y252" i="1" s="1"/>
  <c r="X298" i="1"/>
  <c r="Y298" i="1" s="1"/>
  <c r="T298" i="1"/>
  <c r="X357" i="1"/>
  <c r="Y357" i="1" s="1"/>
  <c r="T357" i="1"/>
  <c r="X376" i="1"/>
  <c r="Y376" i="1" s="1"/>
  <c r="T376" i="1"/>
  <c r="X181" i="1"/>
  <c r="Y181" i="1" s="1"/>
  <c r="X185" i="1"/>
  <c r="Y185" i="1" s="1"/>
  <c r="X248" i="1"/>
  <c r="Y248" i="1" s="1"/>
  <c r="T248" i="1"/>
  <c r="X363" i="1"/>
  <c r="Y363" i="1" s="1"/>
  <c r="T363" i="1"/>
  <c r="T181" i="1"/>
  <c r="T185" i="1"/>
  <c r="X308" i="1"/>
  <c r="Y308" i="1" s="1"/>
  <c r="T308" i="1"/>
  <c r="X347" i="1"/>
  <c r="Y347" i="1" s="1"/>
  <c r="T347" i="1"/>
  <c r="T389" i="1"/>
  <c r="X389" i="1"/>
  <c r="Y389" i="1" s="1"/>
  <c r="X229" i="1"/>
  <c r="Y229" i="1" s="1"/>
  <c r="X270" i="1"/>
  <c r="Y270" i="1" s="1"/>
  <c r="X278" i="1"/>
  <c r="Y278" i="1" s="1"/>
  <c r="X296" i="1"/>
  <c r="Y296" i="1" s="1"/>
  <c r="X306" i="1"/>
  <c r="Y306" i="1" s="1"/>
  <c r="X317" i="1"/>
  <c r="Y317" i="1" s="1"/>
  <c r="X325" i="1"/>
  <c r="Y325" i="1" s="1"/>
  <c r="X326" i="1"/>
  <c r="Y326" i="1" s="1"/>
  <c r="X328" i="1"/>
  <c r="Y328" i="1" s="1"/>
  <c r="X359" i="1"/>
  <c r="Y359" i="1" s="1"/>
  <c r="X369" i="1"/>
  <c r="Y369" i="1" s="1"/>
  <c r="X373" i="1"/>
  <c r="Y373" i="1" s="1"/>
  <c r="T373" i="1"/>
  <c r="X429" i="1"/>
  <c r="Y429" i="1" s="1"/>
  <c r="T429" i="1"/>
  <c r="X458" i="1"/>
  <c r="Y458" i="1" s="1"/>
  <c r="T458" i="1"/>
  <c r="S542" i="1"/>
  <c r="Q541" i="1"/>
  <c r="S541" i="1" s="1"/>
  <c r="Q606" i="1"/>
  <c r="S606" i="1" s="1"/>
  <c r="S607" i="1"/>
  <c r="X250" i="1"/>
  <c r="Y250" i="1" s="1"/>
  <c r="X258" i="1"/>
  <c r="Y258" i="1" s="1"/>
  <c r="X266" i="1"/>
  <c r="Y266" i="1" s="1"/>
  <c r="X331" i="1"/>
  <c r="Y331" i="1" s="1"/>
  <c r="T362" i="1"/>
  <c r="X365" i="1"/>
  <c r="Y365" i="1" s="1"/>
  <c r="T365" i="1"/>
  <c r="X378" i="1"/>
  <c r="Y378" i="1" s="1"/>
  <c r="T378" i="1"/>
  <c r="X403" i="1"/>
  <c r="Y403" i="1" s="1"/>
  <c r="T403" i="1"/>
  <c r="X414" i="1"/>
  <c r="Y414" i="1" s="1"/>
  <c r="T414" i="1"/>
  <c r="X454" i="1"/>
  <c r="Y454" i="1" s="1"/>
  <c r="T454" i="1"/>
  <c r="X478" i="1"/>
  <c r="Y478" i="1" s="1"/>
  <c r="T478" i="1"/>
  <c r="X512" i="1"/>
  <c r="Y512" i="1" s="1"/>
  <c r="T512" i="1"/>
  <c r="X330" i="1"/>
  <c r="Y330" i="1" s="1"/>
  <c r="X375" i="1"/>
  <c r="Y375" i="1" s="1"/>
  <c r="T375" i="1"/>
  <c r="X382" i="1"/>
  <c r="Y382" i="1" s="1"/>
  <c r="T382" i="1"/>
  <c r="X407" i="1"/>
  <c r="Y407" i="1" s="1"/>
  <c r="X438" i="1"/>
  <c r="Y438" i="1" s="1"/>
  <c r="T438" i="1"/>
  <c r="X460" i="1"/>
  <c r="Y460" i="1" s="1"/>
  <c r="T460" i="1"/>
  <c r="X466" i="1"/>
  <c r="Y466" i="1" s="1"/>
  <c r="T466" i="1"/>
  <c r="X596" i="1"/>
  <c r="Y596" i="1" s="1"/>
  <c r="T596" i="1"/>
  <c r="X372" i="1"/>
  <c r="Y372" i="1" s="1"/>
  <c r="T372" i="1"/>
  <c r="X428" i="1"/>
  <c r="Y428" i="1" s="1"/>
  <c r="T428" i="1"/>
  <c r="X447" i="1"/>
  <c r="Y447" i="1" s="1"/>
  <c r="T447" i="1"/>
  <c r="X492" i="1"/>
  <c r="Y492" i="1" s="1"/>
  <c r="T492" i="1"/>
  <c r="T277" i="1"/>
  <c r="T292" i="1"/>
  <c r="T293" i="1"/>
  <c r="T294" i="1"/>
  <c r="T303" i="1"/>
  <c r="T315" i="1"/>
  <c r="T320" i="1"/>
  <c r="T321" i="1"/>
  <c r="T322" i="1"/>
  <c r="T323" i="1"/>
  <c r="X329" i="1"/>
  <c r="Y329" i="1" s="1"/>
  <c r="X355" i="1"/>
  <c r="Y355" i="1" s="1"/>
  <c r="X364" i="1"/>
  <c r="Y364" i="1" s="1"/>
  <c r="T364" i="1"/>
  <c r="T371" i="1"/>
  <c r="S377" i="1"/>
  <c r="S712" i="1" s="1"/>
  <c r="X395" i="1"/>
  <c r="Y395" i="1" s="1"/>
  <c r="T395" i="1"/>
  <c r="T401" i="1"/>
  <c r="X401" i="1"/>
  <c r="Y401" i="1" s="1"/>
  <c r="X453" i="1"/>
  <c r="Y453" i="1" s="1"/>
  <c r="T453" i="1"/>
  <c r="X487" i="1"/>
  <c r="Y487" i="1" s="1"/>
  <c r="T487" i="1"/>
  <c r="X495" i="1"/>
  <c r="Y495" i="1" s="1"/>
  <c r="T495" i="1"/>
  <c r="X501" i="1"/>
  <c r="Y501" i="1" s="1"/>
  <c r="T501" i="1"/>
  <c r="X333" i="1"/>
  <c r="Y333" i="1" s="1"/>
  <c r="X339" i="1"/>
  <c r="Y339" i="1" s="1"/>
  <c r="X360" i="1"/>
  <c r="Y360" i="1" s="1"/>
  <c r="X370" i="1"/>
  <c r="Y370" i="1" s="1"/>
  <c r="X374" i="1"/>
  <c r="Y374" i="1" s="1"/>
  <c r="T374" i="1"/>
  <c r="X381" i="1"/>
  <c r="Y381" i="1" s="1"/>
  <c r="T381" i="1"/>
  <c r="X404" i="1"/>
  <c r="Y404" i="1" s="1"/>
  <c r="T404" i="1"/>
  <c r="X419" i="1"/>
  <c r="Y419" i="1" s="1"/>
  <c r="T419" i="1"/>
  <c r="X459" i="1"/>
  <c r="Y459" i="1" s="1"/>
  <c r="T459" i="1"/>
  <c r="T333" i="1"/>
  <c r="T339" i="1"/>
  <c r="T349" i="1"/>
  <c r="T360" i="1"/>
  <c r="X366" i="1"/>
  <c r="Y366" i="1" s="1"/>
  <c r="T366" i="1"/>
  <c r="T370" i="1"/>
  <c r="X390" i="1"/>
  <c r="Y390" i="1" s="1"/>
  <c r="T390" i="1"/>
  <c r="T406" i="1"/>
  <c r="X406" i="1"/>
  <c r="Y406" i="1" s="1"/>
  <c r="X446" i="1"/>
  <c r="Y446" i="1" s="1"/>
  <c r="T446" i="1"/>
  <c r="X491" i="1"/>
  <c r="Y491" i="1" s="1"/>
  <c r="T491" i="1"/>
  <c r="X435" i="1"/>
  <c r="Y435" i="1" s="1"/>
  <c r="X436" i="1"/>
  <c r="Y436" i="1" s="1"/>
  <c r="X442" i="1"/>
  <c r="Y442" i="1" s="1"/>
  <c r="X475" i="1"/>
  <c r="Y475" i="1" s="1"/>
  <c r="X476" i="1"/>
  <c r="Y476" i="1" s="1"/>
  <c r="X477" i="1"/>
  <c r="Y477" i="1" s="1"/>
  <c r="X490" i="1"/>
  <c r="Y490" i="1" s="1"/>
  <c r="X500" i="1"/>
  <c r="Y500" i="1" s="1"/>
  <c r="X511" i="1"/>
  <c r="Y511" i="1" s="1"/>
  <c r="X513" i="1"/>
  <c r="Y513" i="1" s="1"/>
  <c r="X514" i="1"/>
  <c r="Y514" i="1" s="1"/>
  <c r="X515" i="1"/>
  <c r="Y515" i="1" s="1"/>
  <c r="X521" i="1"/>
  <c r="Y521" i="1" s="1"/>
  <c r="X610" i="1"/>
  <c r="Y610" i="1" s="1"/>
  <c r="T610" i="1"/>
  <c r="X653" i="1"/>
  <c r="Y653" i="1" s="1"/>
  <c r="T653" i="1"/>
  <c r="X443" i="1"/>
  <c r="Y443" i="1" s="1"/>
  <c r="X444" i="1"/>
  <c r="Y444" i="1" s="1"/>
  <c r="X528" i="1"/>
  <c r="Y528" i="1" s="1"/>
  <c r="T528" i="1"/>
  <c r="T537" i="1"/>
  <c r="T545" i="1"/>
  <c r="X545" i="1"/>
  <c r="Y545" i="1" s="1"/>
  <c r="X579" i="1"/>
  <c r="Y579" i="1" s="1"/>
  <c r="T579" i="1"/>
  <c r="X627" i="1"/>
  <c r="Y627" i="1" s="1"/>
  <c r="T627" i="1"/>
  <c r="X506" i="1"/>
  <c r="Y506" i="1" s="1"/>
  <c r="T507" i="1"/>
  <c r="X595" i="1"/>
  <c r="Y595" i="1" s="1"/>
  <c r="T595" i="1"/>
  <c r="X611" i="1"/>
  <c r="Y611" i="1" s="1"/>
  <c r="T611" i="1"/>
  <c r="X624" i="1"/>
  <c r="Y624" i="1" s="1"/>
  <c r="T624" i="1"/>
  <c r="X505" i="1"/>
  <c r="Y505" i="1" s="1"/>
  <c r="T506" i="1"/>
  <c r="T540" i="1"/>
  <c r="Q669" i="1"/>
  <c r="S669" i="1" s="1"/>
  <c r="S670" i="1"/>
  <c r="X553" i="1"/>
  <c r="Y553" i="1" s="1"/>
  <c r="T553" i="1"/>
  <c r="X556" i="1"/>
  <c r="Y556" i="1" s="1"/>
  <c r="T556" i="1"/>
  <c r="X578" i="1"/>
  <c r="Y578" i="1" s="1"/>
  <c r="T578" i="1"/>
  <c r="X626" i="1"/>
  <c r="Y626" i="1" s="1"/>
  <c r="T626" i="1"/>
  <c r="X637" i="1"/>
  <c r="Y637" i="1" s="1"/>
  <c r="T637" i="1"/>
  <c r="X643" i="1"/>
  <c r="Y643" i="1" s="1"/>
  <c r="T643" i="1"/>
  <c r="X644" i="1"/>
  <c r="Y644" i="1" s="1"/>
  <c r="X503" i="1"/>
  <c r="Y503" i="1" s="1"/>
  <c r="T504" i="1"/>
  <c r="X623" i="1"/>
  <c r="Y623" i="1" s="1"/>
  <c r="T623" i="1"/>
  <c r="T503" i="1"/>
  <c r="X552" i="1"/>
  <c r="Y552" i="1" s="1"/>
  <c r="T552" i="1"/>
  <c r="X628" i="1"/>
  <c r="Y628" i="1" s="1"/>
  <c r="T628" i="1"/>
  <c r="X530" i="1"/>
  <c r="Y530" i="1" s="1"/>
  <c r="X557" i="1"/>
  <c r="Y557" i="1" s="1"/>
  <c r="X572" i="1"/>
  <c r="Y572" i="1" s="1"/>
  <c r="X573" i="1"/>
  <c r="Y573" i="1" s="1"/>
  <c r="X574" i="1"/>
  <c r="Y574" i="1" s="1"/>
  <c r="X583" i="1"/>
  <c r="Y583" i="1" s="1"/>
  <c r="X603" i="1"/>
  <c r="Y603" i="1" s="1"/>
  <c r="X604" i="1"/>
  <c r="Y604" i="1" s="1"/>
  <c r="X605" i="1"/>
  <c r="Y605" i="1" s="1"/>
  <c r="Q609" i="1"/>
  <c r="S609" i="1" s="1"/>
  <c r="Q652" i="1"/>
  <c r="S652" i="1" s="1"/>
  <c r="T629" i="1"/>
  <c r="T638" i="1"/>
  <c r="T639" i="1"/>
  <c r="T640" i="1"/>
  <c r="T641" i="1"/>
  <c r="T642" i="1"/>
  <c r="T654" i="1"/>
  <c r="T655" i="1"/>
  <c r="T656" i="1"/>
  <c r="T657" i="1"/>
  <c r="T658" i="1"/>
  <c r="T661" i="1"/>
  <c r="T662" i="1"/>
  <c r="T561" i="1"/>
  <c r="T562" i="1"/>
  <c r="Q613" i="1"/>
  <c r="S613" i="1" s="1"/>
  <c r="T630" i="1"/>
  <c r="Q645" i="1"/>
  <c r="S645" i="1" s="1"/>
  <c r="T680" i="1"/>
  <c r="T681" i="1"/>
  <c r="T682" i="1"/>
  <c r="T685" i="1"/>
  <c r="T645" i="1" l="1"/>
  <c r="X645" i="1"/>
  <c r="Y645" i="1" s="1"/>
  <c r="X607" i="1"/>
  <c r="Y607" i="1" s="1"/>
  <c r="T607" i="1"/>
  <c r="Y2" i="1"/>
  <c r="X606" i="1"/>
  <c r="Y606" i="1" s="1"/>
  <c r="T606" i="1"/>
  <c r="X541" i="1"/>
  <c r="Y541" i="1" s="1"/>
  <c r="T541" i="1"/>
  <c r="T542" i="1"/>
  <c r="X542" i="1"/>
  <c r="Y542" i="1" s="1"/>
  <c r="T712" i="1"/>
  <c r="T613" i="1"/>
  <c r="X613" i="1"/>
  <c r="Y613" i="1" s="1"/>
  <c r="X652" i="1"/>
  <c r="Y652" i="1" s="1"/>
  <c r="T652" i="1"/>
  <c r="V712" i="1"/>
  <c r="X609" i="1"/>
  <c r="Y609" i="1" s="1"/>
  <c r="T609" i="1"/>
  <c r="X670" i="1"/>
  <c r="Y670" i="1" s="1"/>
  <c r="T670" i="1"/>
  <c r="Q712" i="1"/>
  <c r="X669" i="1"/>
  <c r="Y669" i="1" s="1"/>
  <c r="T669" i="1"/>
  <c r="X377" i="1"/>
  <c r="Y377" i="1" s="1"/>
  <c r="T377" i="1"/>
  <c r="Y712" i="1" l="1"/>
  <c r="X712" i="1"/>
</calcChain>
</file>

<file path=xl/comments1.xml><?xml version="1.0" encoding="utf-8"?>
<comments xmlns="http://schemas.openxmlformats.org/spreadsheetml/2006/main">
  <authors>
    <author>Damien Marov</author>
  </authors>
  <commentList>
    <comment ref="Y55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Variation booked to another project</t>
        </r>
      </text>
    </comment>
    <comment ref="R91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Includes the following Ertan Projects in the variation.
Ertan - AYCA-4GJAAH - MEZZO, 87 Bay Street, Glebe - SP2 - Faulty PON
Ertan - AYCA-4RB8MD-2 Clarke St, Berala
Ertan - AYCA-5576QH - Wamerbal 
Ertan - AYCA-5576QH-3 GHERSI </t>
        </r>
      </text>
    </comment>
    <comment ref="V178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Brendan and Alex half a day</t>
        </r>
      </text>
    </comment>
    <comment ref="V218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Brendan wages 3 days
$910 @ $28 per hour for 32 .5 hrs.
Alex Jones: $715 wages
Vehicle cost $255
TA $720
Test Equipment $255
Fuel $150</t>
        </r>
      </text>
    </comment>
    <comment ref="O244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301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Brendan and Alex 14.5 hr day on the 6/9/18 and tehn 4 hrs travel on the 7/9/19</t>
        </r>
      </text>
    </comment>
    <comment ref="V302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Karsten and Bassam by 8 days at 2hrs OT per day</t>
        </r>
      </text>
    </comment>
    <comment ref="V304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Brendan and Alex for 3 hrs each</t>
        </r>
      </text>
    </comment>
    <comment ref="R339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Additionlal flushes 
Afetr Hours work for haulers
Altus traffic control</t>
        </r>
      </text>
    </comment>
    <comment ref="V366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Phil for the day + 1 hr to install Earthing for Mak Leal&gt;  need toa dd Brnedan's time in this as well..</t>
        </r>
      </text>
    </comment>
    <comment ref="V384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Karsten and Bassam 9hr day and Brendan and Alex normal day each</t>
        </r>
      </text>
    </comment>
    <comment ref="V417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453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Greg and Phil there for 3 days, Karsten and Bass there for 1 night </t>
        </r>
      </text>
    </comment>
    <comment ref="R495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LASA component</t>
        </r>
      </text>
    </comment>
  </commentList>
</comments>
</file>

<file path=xl/sharedStrings.xml><?xml version="1.0" encoding="utf-8"?>
<sst xmlns="http://schemas.openxmlformats.org/spreadsheetml/2006/main" count="5103" uniqueCount="1463">
  <si>
    <t>Contract</t>
  </si>
  <si>
    <t>Location</t>
  </si>
  <si>
    <t>PE</t>
  </si>
  <si>
    <t>Inv No.</t>
  </si>
  <si>
    <t>Date Invoice Created</t>
  </si>
  <si>
    <t>Date Project Completions handed over</t>
  </si>
  <si>
    <t>PC Request Date Submitted</t>
  </si>
  <si>
    <t>Variation Request submitted</t>
  </si>
  <si>
    <t>Variation Approval</t>
  </si>
  <si>
    <t>PC Due</t>
  </si>
  <si>
    <t>Payment Date</t>
  </si>
  <si>
    <t>PC, Variation &amp; Payment Comments</t>
  </si>
  <si>
    <t>Month Claimed</t>
  </si>
  <si>
    <t>Actual Payment Date</t>
  </si>
  <si>
    <t>FSAM/MPS</t>
  </si>
  <si>
    <t>Suburb</t>
  </si>
  <si>
    <t>CSPO Amount</t>
  </si>
  <si>
    <t>Variation</t>
  </si>
  <si>
    <t>Total Revenue</t>
  </si>
  <si>
    <t>GST Inc</t>
  </si>
  <si>
    <t>DJC Cost</t>
  </si>
  <si>
    <t>Internal DJC Cost</t>
  </si>
  <si>
    <t>Total Cost</t>
  </si>
  <si>
    <t>Margin</t>
  </si>
  <si>
    <t>%</t>
  </si>
  <si>
    <t>Status</t>
  </si>
  <si>
    <t>Date Expected Payment</t>
  </si>
  <si>
    <t>Comments</t>
  </si>
  <si>
    <t>NBN PO/PM</t>
  </si>
  <si>
    <t>Project Quote Submitted</t>
  </si>
  <si>
    <t>Project Award Date</t>
  </si>
  <si>
    <t>Days to Award</t>
  </si>
  <si>
    <t>Customer required date</t>
  </si>
  <si>
    <t>Difference CRD to Award</t>
  </si>
  <si>
    <t>A401/Greenfield</t>
  </si>
  <si>
    <t>Sydney</t>
  </si>
  <si>
    <t>Mickey Tran</t>
  </si>
  <si>
    <t>Inv 13693</t>
  </si>
  <si>
    <t>MW20507 - AYCA-2Y5DX4 - Bridgeland Investment</t>
  </si>
  <si>
    <t>Epping</t>
  </si>
  <si>
    <t>Andrew Partalis</t>
  </si>
  <si>
    <t>A417 Greenfield MDU</t>
  </si>
  <si>
    <t>Sydney West</t>
  </si>
  <si>
    <t>Dane Harrington</t>
  </si>
  <si>
    <t>MW20698 - AYCA-1SQ3K5 - 189 Macquarie Street</t>
  </si>
  <si>
    <t>Parramatta</t>
  </si>
  <si>
    <t>Lindy Chan</t>
  </si>
  <si>
    <t>Direct Award</t>
  </si>
  <si>
    <t>Inv 14141</t>
  </si>
  <si>
    <t>MW20888 - AYCA-39AB50 -2HOR-62 -JAAN – 1</t>
  </si>
  <si>
    <t>Asquith</t>
  </si>
  <si>
    <t>Damien Marov</t>
  </si>
  <si>
    <t>Inv 14582</t>
  </si>
  <si>
    <t>MW21097 - 2LIV-04 - AYCA-476RM9 - NSB - 87-91 Campbell St Build</t>
  </si>
  <si>
    <t>Liverpool</t>
  </si>
  <si>
    <t>Andrew Mahassy</t>
  </si>
  <si>
    <t>Sydney Sth</t>
  </si>
  <si>
    <t>Marshell Antonio</t>
  </si>
  <si>
    <t>MW21325 - 2NRL-20 - AYCA-2QFUTJ - Camden Day Hospital - 1</t>
  </si>
  <si>
    <t>Elderslie</t>
  </si>
  <si>
    <t>Completed and handover forwarded</t>
  </si>
  <si>
    <t>Nabeel Jaimon</t>
  </si>
  <si>
    <t>Inv 13697</t>
  </si>
  <si>
    <t>MW20917 - AYCA-3A485K -2LID-03 -  Lidbury Street Berala - 1 - EXTERNAL</t>
  </si>
  <si>
    <t>Berala</t>
  </si>
  <si>
    <t>Central West</t>
  </si>
  <si>
    <t>Inv 14543</t>
  </si>
  <si>
    <t>MW21395 - 2BTH-01 - AYCA-4LYVIU - Arndilly - 2</t>
  </si>
  <si>
    <t>Bathurst</t>
  </si>
  <si>
    <t>Mark Leal</t>
  </si>
  <si>
    <t>Inv 13910</t>
  </si>
  <si>
    <t>MW21524 -  AYCA-47C97W-2BLK-01 -51 Kildare Rd Blacktown</t>
  </si>
  <si>
    <t>Blacktown</t>
  </si>
  <si>
    <t>Ertan Cicek</t>
  </si>
  <si>
    <t>Inv 14211</t>
  </si>
  <si>
    <t>MW21570-AYCA-1L7010  - 2LID-08 - Mixed Use Development - Tower A and B</t>
  </si>
  <si>
    <t>Auburn</t>
  </si>
  <si>
    <t xml:space="preserve">Ertan Cicek </t>
  </si>
  <si>
    <t>MW21705-AYCA-468RZY-2LID-04-23 RAILWAY PARADE - Ext</t>
  </si>
  <si>
    <t>Lidcombe</t>
  </si>
  <si>
    <t>MW21699-AYCA-3E5O97-2ROU-03-Hancy - 1</t>
  </si>
  <si>
    <t>Kellyville</t>
  </si>
  <si>
    <t>MW21728-AYCA-4HTS7R-2RIV-03-875 RICHMOND RD, MARSDEN PARK</t>
  </si>
  <si>
    <t>Marsden Park</t>
  </si>
  <si>
    <t xml:space="preserve">MW21638- AYCA-3NFID7-2PTH-04 - Tench Ave Jamisontown 1 </t>
  </si>
  <si>
    <t>Jamisontown</t>
  </si>
  <si>
    <t>MW21791-AYCA-468RZY-2LID-04-23 Railway Parade - Internals</t>
  </si>
  <si>
    <t>Inv 13985</t>
  </si>
  <si>
    <t>MW21819-AYCA-4KXY8F-2BTH-02-1 Wark Parade, Windradyne</t>
  </si>
  <si>
    <t>Camden</t>
  </si>
  <si>
    <t>MW21884-AYCA-47OO3O- 2LIV-03- 188-190 Moore st, Liverpool</t>
  </si>
  <si>
    <t>MW21876-AYCA-21PVTM - 2BLK-03 - 5 Second Avenue, Blacktown</t>
  </si>
  <si>
    <t xml:space="preserve"> </t>
  </si>
  <si>
    <t>Inv 13922</t>
  </si>
  <si>
    <t>MW21820-AYCA-4W4BKH-2HOM-02-38 Weeroona Rd, Strathfield Ext</t>
  </si>
  <si>
    <t>Strathfield</t>
  </si>
  <si>
    <t>Inv 13937</t>
  </si>
  <si>
    <t>MW21857-AYCA-442ZEA- 2PAR-63-2 Good st, Westmead</t>
  </si>
  <si>
    <t>Westmead</t>
  </si>
  <si>
    <t>A401/Minor works</t>
  </si>
  <si>
    <t>Sth Coast</t>
  </si>
  <si>
    <t>Inv 13829</t>
  </si>
  <si>
    <t>MW21390 - AYCA-4QG9AV - NSB - 33 Shoalhaven St Kiama Surevy &amp; Build</t>
  </si>
  <si>
    <t>Kiama</t>
  </si>
  <si>
    <t xml:space="preserve">MW21875 - AYCA-42N8QF-  2PEN-67- Macklin 38 </t>
  </si>
  <si>
    <t>Pendle Hill</t>
  </si>
  <si>
    <t xml:space="preserve">Inv 14215 </t>
  </si>
  <si>
    <t>MW21827-AYCA-4O03IQ-2COR-09-17 Ryan Street, Balgownie Ext</t>
  </si>
  <si>
    <t>Balgownie</t>
  </si>
  <si>
    <t>Inv 13752</t>
  </si>
  <si>
    <t>MW21970-AYCA-4YZGFK-2PEN-66-51 Boronia St, South Wentworthville</t>
  </si>
  <si>
    <t>Wentworthville</t>
  </si>
  <si>
    <t>MW21456 - 2BLK-07-16 - 51 Huntingwood Drive</t>
  </si>
  <si>
    <t>Huntingwood</t>
  </si>
  <si>
    <t>Greg Moeller</t>
  </si>
  <si>
    <t>NBN Assurance Wagga</t>
  </si>
  <si>
    <t>NSW</t>
  </si>
  <si>
    <t>Andrew McPherson</t>
  </si>
  <si>
    <t>Inv 13358</t>
  </si>
  <si>
    <t>MW22235 - INC000007210193 - 36 Blakemore Av, Ashmont, NSW</t>
  </si>
  <si>
    <t>Ashmont</t>
  </si>
  <si>
    <t>Tony Gabriel</t>
  </si>
  <si>
    <t>Inv 13672</t>
  </si>
  <si>
    <t>MW21835-AYCA-4MJ7W3-2WRO-63-8-10 Park Ave, Waitara</t>
  </si>
  <si>
    <t>Waitara</t>
  </si>
  <si>
    <t>Inv 13718</t>
  </si>
  <si>
    <t>MW22035-AYCA-4C4E63-2CWR-01-11 Liverpool Street Cowra</t>
  </si>
  <si>
    <t>Cowra</t>
  </si>
  <si>
    <t>Dave Yoemans</t>
  </si>
  <si>
    <t>Sth NSW</t>
  </si>
  <si>
    <t>Inv 13776</t>
  </si>
  <si>
    <t>MW22033 -AYCA-4PX9WA- 2YAS-01 - 23 Browne Street Yass</t>
  </si>
  <si>
    <t>Yass</t>
  </si>
  <si>
    <t>MW21971-AYCA-4X6TWU-2LID-08-43 - 47 Harrow Rd, Auburn, EXT</t>
  </si>
  <si>
    <t>Inv 13921</t>
  </si>
  <si>
    <t>MW21994-AYCA-4W4BKH-2HOM-02-38 Weeroona Rd Strathfield INT</t>
  </si>
  <si>
    <t>MW22002-AYCA-4X6TWU-2LID-08-43-47 Harrow Rd Auburn,  INT</t>
  </si>
  <si>
    <t>Inv 14630</t>
  </si>
  <si>
    <t>MW22007-AYCA-4VJFPP-2NEW-22-19-21 Eve St, Erskineville</t>
  </si>
  <si>
    <t>Erskinville</t>
  </si>
  <si>
    <t>Inv 13637</t>
  </si>
  <si>
    <t>MW22022--AYCA-3TBATE-2PAR-6111 Hassall St, Paramatta</t>
  </si>
  <si>
    <t>MW22024-AYCA-35DF0W-2KEL-07-1, 1A &amp; 1B President Rd, Kellyville</t>
  </si>
  <si>
    <t>Inv 14084</t>
  </si>
  <si>
    <t>MW22023-AYCA-48280D - 2RED-03 -  906 Bourke St, Zetland</t>
  </si>
  <si>
    <t>Zetland</t>
  </si>
  <si>
    <t>Sydney Nth</t>
  </si>
  <si>
    <t>MW21914 - AYCA-4SRFAN-2BAL-62 - 22/26 Roseberry St Balgowlah NSW INT</t>
  </si>
  <si>
    <t>Balgowlah</t>
  </si>
  <si>
    <t>Inv 14143</t>
  </si>
  <si>
    <t>MW22048-AYCA-52ZO0L-2LID-04-32 Norval St, Auburn EXT</t>
  </si>
  <si>
    <t>Aurburn</t>
  </si>
  <si>
    <t>Richard Huffadine</t>
  </si>
  <si>
    <t>Inv 14191</t>
  </si>
  <si>
    <t>MW22053-AYCA-4O03IQ-2COR-09-17 Ryan Street Balgownie Int</t>
  </si>
  <si>
    <t>Balgowie</t>
  </si>
  <si>
    <t>Inv 14153</t>
  </si>
  <si>
    <t>MW22042-AYCA-4SV0JO2ING-65-41-47 Stennett Rd Ingleburn, Int HMDU</t>
  </si>
  <si>
    <t>Ingelburn</t>
  </si>
  <si>
    <t>MW21898-AYCA-26KP9Q-2ROU-02-Caddies Boulevard &amp; White Hart Drive, Rouse Hill</t>
  </si>
  <si>
    <t>Rouse Hill</t>
  </si>
  <si>
    <t>Inv 13695</t>
  </si>
  <si>
    <t>MW22047-AYCA-53E534-2LIV-12-25 Glenfield Rd, Glenfield  Ext</t>
  </si>
  <si>
    <t>Glenfield</t>
  </si>
  <si>
    <t>Inv 14196</t>
  </si>
  <si>
    <t>MW22055-AYCA-52ZO0L-2LID-04-32 Norval St Auburn   INT</t>
  </si>
  <si>
    <t>Inv 13683</t>
  </si>
  <si>
    <t>MW22057 - AYCA-4EOA07-2MIR-24 - 298-300 Taren Point Rd, Caringbah</t>
  </si>
  <si>
    <t>Caringbah</t>
  </si>
  <si>
    <t>Inv 13667</t>
  </si>
  <si>
    <t>MW22050-AYCA-53E534-2LIV-12-25 Glenfield Rd Glenfield Int</t>
  </si>
  <si>
    <t xml:space="preserve">MW22071- AYCA-4M02LB -2UND-62-401-405 Illawarra Road, Marrickville </t>
  </si>
  <si>
    <t>Marrickville</t>
  </si>
  <si>
    <t>Inv 13631</t>
  </si>
  <si>
    <t>MW22080-2QUA-02-AYCA-3I5VJ6-67 Dongola Circuit Schofields</t>
  </si>
  <si>
    <t>Schofields</t>
  </si>
  <si>
    <t>Inv 13429</t>
  </si>
  <si>
    <t>MW22116 - INC000007403862 –  49 RACECOURSE RD, ORANGE</t>
  </si>
  <si>
    <t>Orange</t>
  </si>
  <si>
    <t>Inv 14618</t>
  </si>
  <si>
    <t xml:space="preserve">MW417R000129-AYCA-4CG9U4-2KNS-04-29-31 Dunning Avenue Rosebery </t>
  </si>
  <si>
    <t>Roseberry</t>
  </si>
  <si>
    <t xml:space="preserve">MW22096-AYCA-3W384B-2HOR-62-433-437 Pacific Highway, Asquith </t>
  </si>
  <si>
    <t>MW22095-AYCA-4H8EZO- 2HUH-22-117-123 Victoria Rd, Gladesville</t>
  </si>
  <si>
    <t>Gladesville</t>
  </si>
  <si>
    <t>Inv 14002</t>
  </si>
  <si>
    <t>MW22093-AYCA-4RGB2W-2EAS-62-111-139 Darlinghurst Rd, Potts Point</t>
  </si>
  <si>
    <t>Potts Point</t>
  </si>
  <si>
    <t>Inv 13696</t>
  </si>
  <si>
    <t>MW22104-AYCA-4DRN0U-2BRG-03-182 Raby Road Gledswood Hills</t>
  </si>
  <si>
    <t>Gledswood Hills</t>
  </si>
  <si>
    <t>Inv 13592</t>
  </si>
  <si>
    <t>MW22200-AYCA-213H8O-2DAP-01-1 Wongawilli Road Wongawilli The Grove- Stage 4</t>
  </si>
  <si>
    <t>Wongawilli</t>
  </si>
  <si>
    <t>Inv 14054</t>
  </si>
  <si>
    <t xml:space="preserve">MW22532-AYCA-55KUFO-2MIR-22-31 Bay Road Taren Point </t>
  </si>
  <si>
    <t>Taren Point</t>
  </si>
  <si>
    <t>Inv 13848</t>
  </si>
  <si>
    <t xml:space="preserve">MW22177-AYCA-54QSHT-2MIL-20-42A Kurrajong Rd Prestons </t>
  </si>
  <si>
    <t>Prestons</t>
  </si>
  <si>
    <t>Inv 13638</t>
  </si>
  <si>
    <t>MW22203-AYCA-2LIFV6-2ROU-02-4 Stringer Rd Kellyville</t>
  </si>
  <si>
    <t>Inv 13634</t>
  </si>
  <si>
    <t>MW22183-AYCA-55F4KR-2REV-20-15 Fitzpatrick St, Revesby</t>
  </si>
  <si>
    <t>Revesby</t>
  </si>
  <si>
    <t>Inv 13664</t>
  </si>
  <si>
    <t>MW22171-AYCA-54VFA3-2COR-02- 50 Squires Cres Coledale</t>
  </si>
  <si>
    <t>Coledale</t>
  </si>
  <si>
    <t>Sogand Mohtat</t>
  </si>
  <si>
    <t>Inv 13714</t>
  </si>
  <si>
    <t xml:space="preserve">MW22186 - AYCA-3L48XJ - 2CAS-23 - 2 Anella Avenue Castle Hill </t>
  </si>
  <si>
    <t>Castle Hill</t>
  </si>
  <si>
    <t>Inv 13849</t>
  </si>
  <si>
    <t>MW22195 - AYCA-4SOX62-2LIV-03- 186 Moore St Liverpool</t>
  </si>
  <si>
    <t>Inv 14199</t>
  </si>
  <si>
    <t>MW21878-AYCA-2Q0B3G-2PAR-63-148-150 Great Western Hwy, Westmead</t>
  </si>
  <si>
    <t>Inv 13715</t>
  </si>
  <si>
    <t>MW22223-AYCA-4S0RD5-2RIV-03-14 Argowan Rd Schofields</t>
  </si>
  <si>
    <t>Inv 13738</t>
  </si>
  <si>
    <t>MW22100 - AYCA-4QBUIV - 2KTB-02 -  NSB - Letitia St Katoomb</t>
  </si>
  <si>
    <t>Katoomba</t>
  </si>
  <si>
    <t>Inv 13636</t>
  </si>
  <si>
    <t xml:space="preserve">MW22188-AYCA-4YPJJH-2BAN-60-62 Hume Hwy Chullora </t>
  </si>
  <si>
    <t>Chullora</t>
  </si>
  <si>
    <t>Inv 13632</t>
  </si>
  <si>
    <t>MW22208-AYCA-4PWSOZ- 2KEL-07-1B Fairway Dr Kellyville</t>
  </si>
  <si>
    <t>Inv 13846</t>
  </si>
  <si>
    <t>MW22258-AYCA-4BT0OX-2RIV-02-66 Schofields Road Schofields</t>
  </si>
  <si>
    <t>Inv 14492</t>
  </si>
  <si>
    <t>MW22191-AYCA-4Z4FSB - 2MIL-20 -  Mainfreight Logistics - 1</t>
  </si>
  <si>
    <t>Inv 14207</t>
  </si>
  <si>
    <t>MW22218 - AYCA-4JMOL9 - 2DRU-60 - 50-52 East St, Five Dock</t>
  </si>
  <si>
    <t>Five Dock</t>
  </si>
  <si>
    <t>inv 13629</t>
  </si>
  <si>
    <t xml:space="preserve">MW22243 - AYCA-4EUBZX - 2PTH-06 - 82 Cox Avenue, Penrith </t>
  </si>
  <si>
    <t>Penrith</t>
  </si>
  <si>
    <t>Inv 13694</t>
  </si>
  <si>
    <t>MW22260-AYCA-56YKSC-2CAM-02-38 Wonga St, Canterbury</t>
  </si>
  <si>
    <t>Canterbury</t>
  </si>
  <si>
    <t>Inv 14156</t>
  </si>
  <si>
    <t>MW22279-AYCA-45Q6J5-2EPP-62-35 Oxford St Epping</t>
  </si>
  <si>
    <t>Inv 14505</t>
  </si>
  <si>
    <t>MW22284-AYCA-4KZ476-2PTH-02-38-40 Doonmore St Penrith</t>
  </si>
  <si>
    <t>MW22293 - AYCA-4NNOGX - 2PTH-02 - 240-250 Great Western Hwy Kingswood</t>
  </si>
  <si>
    <t>Kingswood</t>
  </si>
  <si>
    <t>Inv 13832</t>
  </si>
  <si>
    <t>MW22209-AYCA-48LNJ7-2ORG-02-Cedar St Orange</t>
  </si>
  <si>
    <t>NBN Assurance Sydney</t>
  </si>
  <si>
    <t>Inv 13526</t>
  </si>
  <si>
    <t>MW417R000214 - INC000007724800 - Lot 1, 1 Asquith Av, Wentworth Falls</t>
  </si>
  <si>
    <t>Wentworth Falls</t>
  </si>
  <si>
    <t>Inv 13529</t>
  </si>
  <si>
    <t>MW22342 - INC000007317444 - Lot 1, 40 Grenfell St, West Wyalong</t>
  </si>
  <si>
    <t>West Wyalong</t>
  </si>
  <si>
    <t>Inv 13531</t>
  </si>
  <si>
    <t>MW417R000205 - INC000007476665 - Lot 5, 23 Kookora Street, Griffith</t>
  </si>
  <si>
    <t>Griffth</t>
  </si>
  <si>
    <t>Inv 13741</t>
  </si>
  <si>
    <t>MW22297-AYCA-58QIXQ-2LIV-02-29 SCOTT ST, LIVERPOOL</t>
  </si>
  <si>
    <t>Inv 14442</t>
  </si>
  <si>
    <t xml:space="preserve">MW417R000051-AYCA-55JW1J-2BOT-01-180 – 188 Maroubra Rd, Maroubra </t>
  </si>
  <si>
    <t>Maroubra</t>
  </si>
  <si>
    <t>VPL New Devs</t>
  </si>
  <si>
    <t>Inv 13589</t>
  </si>
  <si>
    <t>2BUR-03-AYCA-2EBL4P</t>
  </si>
  <si>
    <t>Burwood</t>
  </si>
  <si>
    <t>Adnan Khabbaz</t>
  </si>
  <si>
    <t>Inv 13590</t>
  </si>
  <si>
    <t>2CAM-60-AYCA-4VCIKM</t>
  </si>
  <si>
    <t>Campsie</t>
  </si>
  <si>
    <t>Inv 13724</t>
  </si>
  <si>
    <t xml:space="preserve">2KRG-03-AYCA-2Z4T2N </t>
  </si>
  <si>
    <t>Kooringal</t>
  </si>
  <si>
    <t>Inv 13656</t>
  </si>
  <si>
    <t>2NRN-05-AYCA-4B5K39</t>
  </si>
  <si>
    <t>Narrellen</t>
  </si>
  <si>
    <t>Inv 13834</t>
  </si>
  <si>
    <t>2PET-67-AYCA-4W7GEZ,</t>
  </si>
  <si>
    <t>Petersham</t>
  </si>
  <si>
    <t>Inv 13835</t>
  </si>
  <si>
    <t>2PET-69-AYCA-3G34XT</t>
  </si>
  <si>
    <t>Inv 13591</t>
  </si>
  <si>
    <t>2ROU-04-AYCA-39XZGZ</t>
  </si>
  <si>
    <t>Inv 13751</t>
  </si>
  <si>
    <t xml:space="preserve">MW22091-AYCA-4MNF1P-2NRN-10-11 &amp; 15 Holborn Circuit, Gregory Hills </t>
  </si>
  <si>
    <t>Gregory Hills</t>
  </si>
  <si>
    <t>Inv 13691</t>
  </si>
  <si>
    <t>MW22288-AYCA-4R7UP6-2MIL-04-40 Government Rd, Hinchinbrook</t>
  </si>
  <si>
    <t>Hinchinbrook</t>
  </si>
  <si>
    <t>Andrwe Mahassy</t>
  </si>
  <si>
    <t>Inv 13984</t>
  </si>
  <si>
    <t xml:space="preserve">MW22309-AYCA-3V5BM6-2DRU-61-197-199 Lyons Rd Drummoyne </t>
  </si>
  <si>
    <t xml:space="preserve">Drummoyne </t>
  </si>
  <si>
    <t>Inv 14619</t>
  </si>
  <si>
    <t>MW22296-AYCA-4RB8MD-2LID-03-2 Clarke St, Berala</t>
  </si>
  <si>
    <t>inv 13773</t>
  </si>
  <si>
    <t>MW22287-AYCA-4LQOVR-2KEL-08-25 Water Creek Boulevard Kellyville</t>
  </si>
  <si>
    <t>Nth Coast</t>
  </si>
  <si>
    <t>Inv 13911</t>
  </si>
  <si>
    <t>MW22301-AYCA-541Y7O-2WAU-20-728-730 Beechwood</t>
  </si>
  <si>
    <t>Wauchope</t>
  </si>
  <si>
    <t xml:space="preserve">MW22319-AYCA-33L9HP-2BAN-64-Restwell &amp; Leonard St Bankstown </t>
  </si>
  <si>
    <t>Bankstown</t>
  </si>
  <si>
    <t>Inv 14082</t>
  </si>
  <si>
    <t>MW22334-AYCA-3V2064-2WAG-01-29 Gibson St, Boorooma</t>
  </si>
  <si>
    <t>Boorooma</t>
  </si>
  <si>
    <t>Inv 13544</t>
  </si>
  <si>
    <t>MW417R000206 - INC000007540081 - Lot 4, 126 Aberford Street, Coonamble</t>
  </si>
  <si>
    <t>Coonamble</t>
  </si>
  <si>
    <t>Inv 13547</t>
  </si>
  <si>
    <t>MW417R000208 - INC000007494309 - LOT 4, 9 DUBBO ST, COONAMBLE</t>
  </si>
  <si>
    <t>Inv 13549</t>
  </si>
  <si>
    <t>MW417R000207 - INC000007482861 - 52-58 WARATAH ST COWRA</t>
  </si>
  <si>
    <t>Inv 13550</t>
  </si>
  <si>
    <t>MW417R000213-2ORG-03-183 Summer St, Orange</t>
  </si>
  <si>
    <t>MW22314-AYCA-4A5XPU-2BLK-11-29 Norfolk Street, Blacktown</t>
  </si>
  <si>
    <t>Inv 14083</t>
  </si>
  <si>
    <t>MW21532-AYCA-4TBHNX - 2SHH-05 - NSB - 125 LAKE ENTRANCE - SURVEY</t>
  </si>
  <si>
    <t>Barrack Heights</t>
  </si>
  <si>
    <t>Andrew Mahssy</t>
  </si>
  <si>
    <t>Inv 14204</t>
  </si>
  <si>
    <t>MW22263-AYCA-31DCKF-2EAS-62-18-20 Neild Ave Darlinghurst</t>
  </si>
  <si>
    <t>Darlinghurst</t>
  </si>
  <si>
    <t>Inv 13772</t>
  </si>
  <si>
    <t xml:space="preserve">MW22265-AYCA-4R1HNT-2MIL-62-6-8 Facey Cres Lurnea </t>
  </si>
  <si>
    <t>Lumea</t>
  </si>
  <si>
    <t>Inv 13774</t>
  </si>
  <si>
    <t xml:space="preserve">MW22347-AYCA-4XTH50-2HOM-03-31-35 Smallwood Ave Homebush </t>
  </si>
  <si>
    <t>Homebush</t>
  </si>
  <si>
    <t>Inv 14387</t>
  </si>
  <si>
    <t>MW22346-AYCA-50FP2M-2ROU-03-Oxlade Street Kellyville</t>
  </si>
  <si>
    <t>MW22333 - AYCA-54SUCD - 2PKE-06 - Warehouse Pl Berkeley</t>
  </si>
  <si>
    <t>Berkeley</t>
  </si>
  <si>
    <t>Inv 13912</t>
  </si>
  <si>
    <t>MW22336-AYCA-4MJKV1-2KMS-21-Lot 37 Springfields Drive, Greenhill</t>
  </si>
  <si>
    <t>Greenhill</t>
  </si>
  <si>
    <t>Central Coast</t>
  </si>
  <si>
    <t>Inv 13831</t>
  </si>
  <si>
    <t>MW22335 - AYCA-55S741 - 2WOY-03 -Broken Bay – 1</t>
  </si>
  <si>
    <t>Ettalong Beach</t>
  </si>
  <si>
    <t>Inv 14206</t>
  </si>
  <si>
    <t>MW22331-AYCA-3CFI3W-2EPP-05-120 Herring Road Marsfield</t>
  </si>
  <si>
    <t>Marsfield</t>
  </si>
  <si>
    <t xml:space="preserve">MW22313 - AYCA-48S696 - 2BLK-03 -  3-7 Wallace St Blacktown </t>
  </si>
  <si>
    <t>Inv 13743</t>
  </si>
  <si>
    <t>MW22477 - AYCA-4XVGZ8 -  2WYO-03 -140 Pacific Highway Tuggerah</t>
  </si>
  <si>
    <t>Tuggerah</t>
  </si>
  <si>
    <t>Dave Yeomans</t>
  </si>
  <si>
    <t>Inv 13844</t>
  </si>
  <si>
    <t>MW22472 - 2PTM-23 - AYCA-4Q0G0C-20 Scarborough Close Port Macquarie</t>
  </si>
  <si>
    <t>Port Macquarie</t>
  </si>
  <si>
    <t>Inv 13692</t>
  </si>
  <si>
    <t>MW22351-AYCA-49Z80V-2PIT-01-44 Wells Street Pitt Town</t>
  </si>
  <si>
    <t>Pitt Town</t>
  </si>
  <si>
    <t>Inv 13775</t>
  </si>
  <si>
    <t>MW22358-AYCA-4OHMS3-2BLK-07-35 Holbeche Road Arndell Park-INT HMDU</t>
  </si>
  <si>
    <t>Arndell park</t>
  </si>
  <si>
    <t>ACT</t>
  </si>
  <si>
    <t>Inv 14007</t>
  </si>
  <si>
    <t xml:space="preserve">MW22350-AYCA-4VAQ8P-9SCU-07-11 Prevost Pl MacGregor, ACT </t>
  </si>
  <si>
    <t>MacGregor</t>
  </si>
  <si>
    <t>Inv 14671</t>
  </si>
  <si>
    <t xml:space="preserve">MW22378-AYCA-4YJULB-2REV-22-479 Henry Lawson Drive Milperra </t>
  </si>
  <si>
    <t>Milperra</t>
  </si>
  <si>
    <t>Inv 13936</t>
  </si>
  <si>
    <t>MW22405-AYCA-3BBGCI-2RIV-04-737 Windsor Rd Box Hill</t>
  </si>
  <si>
    <t>Box Hill</t>
  </si>
  <si>
    <t>NBN FttC Drops</t>
  </si>
  <si>
    <t>Inv 13746</t>
  </si>
  <si>
    <t>MW417R000166-2MIR-31-STELLAR NPDL_MWR (A417)-Miranda</t>
  </si>
  <si>
    <t>Miranda</t>
  </si>
  <si>
    <t>Kirsty Doyle</t>
  </si>
  <si>
    <t>Inv 14338</t>
  </si>
  <si>
    <t>Sydney East</t>
  </si>
  <si>
    <t>MW417R000049-AYCA-24QAXK-2ROC-03-10 Martin Avenue Arncliffe</t>
  </si>
  <si>
    <t>Arncliffe</t>
  </si>
  <si>
    <t>Inv 14270</t>
  </si>
  <si>
    <t>MW417R000169-2MIR-29-STELLAR NPDL_MWR (A417)-Miranda</t>
  </si>
  <si>
    <t>Rob Panovski</t>
  </si>
  <si>
    <t>Inv 13747</t>
  </si>
  <si>
    <t>Inv 14158</t>
  </si>
  <si>
    <t>MW417R000170-2MIR-22-STELLAR NPDL_MWR (A417)-Miranda</t>
  </si>
  <si>
    <t>Inv 13745</t>
  </si>
  <si>
    <t>Inv 13750</t>
  </si>
  <si>
    <t>MW417R000172-2MON-25-STELLAR NPDL_MWR (A417)-Mona Vale</t>
  </si>
  <si>
    <t>Mona Vale</t>
  </si>
  <si>
    <t>MW417R000502-AYCA-4UMUPA-2KEL-07-21 Fairway Dr, Kellyville</t>
  </si>
  <si>
    <t>Inv 14726</t>
  </si>
  <si>
    <t>Inv 14213</t>
  </si>
  <si>
    <t>MW417R000174-2MIR-26-STELLAR NPDL_MWR (A417)-Miranda</t>
  </si>
  <si>
    <t>Inv 13748</t>
  </si>
  <si>
    <t>Inv 14212</t>
  </si>
  <si>
    <t>MW417R000180-2MIR-25-STELLAR NPDL_MWR (A417)-Miranda</t>
  </si>
  <si>
    <t>Inv 13749</t>
  </si>
  <si>
    <t>Inv 14614</t>
  </si>
  <si>
    <t>MW417R002068 - AYCA-5PIVSY -2BTH-02 -  11 Lombard Drive, Robin Hill Ext</t>
  </si>
  <si>
    <t>Robin Hill</t>
  </si>
  <si>
    <t>Inv 14267</t>
  </si>
  <si>
    <t>MW417R000536-2BGI-20-STELLAR NPDL_MWR (A417)-Boggabri</t>
  </si>
  <si>
    <t>Boggabri</t>
  </si>
  <si>
    <t>MW417R000540-2CTH-20-STELLAR NPDL_MWR (A417)-Crescent Head</t>
  </si>
  <si>
    <t>Cresent Heads</t>
  </si>
  <si>
    <t>Inv 13870</t>
  </si>
  <si>
    <t>Inv 14337</t>
  </si>
  <si>
    <t>MW417R000541-2DRG-20-STELLAR NPDL_MWR (A417)-Dorrigo</t>
  </si>
  <si>
    <t xml:space="preserve">Dorrigo </t>
  </si>
  <si>
    <t>Inv 13875</t>
  </si>
  <si>
    <t>Jul-18</t>
  </si>
  <si>
    <t xml:space="preserve">MW417R000541-2DRG-20-STELLAR NPDL_MWR (A417)-Dorrigo </t>
  </si>
  <si>
    <t>Inv 14339</t>
  </si>
  <si>
    <t>MW417R000545-2ERP-20-STELLAR NPDL_MWR (A417)-Eastern Creek</t>
  </si>
  <si>
    <t>Eastern Creek</t>
  </si>
  <si>
    <t>Inv 13871</t>
  </si>
  <si>
    <t>Inv 14590</t>
  </si>
  <si>
    <t>MW417R000546-2ERP-21 STELLAR NPDL_MWR (A417)- Erskine Park</t>
  </si>
  <si>
    <t>Eskine park</t>
  </si>
  <si>
    <t>Inv 14274</t>
  </si>
  <si>
    <t>MW417R000548-2LCT-01 - STELLAR NPDL_MWR (A417)-Lake Cathie</t>
  </si>
  <si>
    <t>Lake Cathie</t>
  </si>
  <si>
    <t>Inv 14268</t>
  </si>
  <si>
    <t>MW417R000549 - 2MAN-20 - STELLAR NPDL_MWR (A417)-Manilla</t>
  </si>
  <si>
    <t>Manilla</t>
  </si>
  <si>
    <t>inv 13865</t>
  </si>
  <si>
    <t>Aug-18</t>
  </si>
  <si>
    <t>Inv 14394</t>
  </si>
  <si>
    <t>MW417R000550 - 2MIR-24 - STELLAR NPDL_MWR (A417)-Miranda</t>
  </si>
  <si>
    <t>Inv 13876</t>
  </si>
  <si>
    <t>Inv 14587</t>
  </si>
  <si>
    <t>MW417R000552-2MON-28-STELLAR NPDL_MWR (A417) - Mona Vale</t>
  </si>
  <si>
    <t>Inv 13872</t>
  </si>
  <si>
    <t xml:space="preserve">MW417R000552-2MON-28-STELLAR NPDL_MWR (A417) - Mona Vale </t>
  </si>
  <si>
    <t>Inv 13845</t>
  </si>
  <si>
    <t>MW22372-AYCA-4WVTLQ-2DBB-01-48 Southlakes Parade Dubbo</t>
  </si>
  <si>
    <t>Dubbo</t>
  </si>
  <si>
    <t>Inv 13635</t>
  </si>
  <si>
    <t>MW22345-AYCA-4R1HAL-2RIV-07-Crown, Edmund, William St-7 Riverstone</t>
  </si>
  <si>
    <t>Riverstone</t>
  </si>
  <si>
    <t>MW22436 - AYCA-4SRFAN-2226 Roseberry St Balgowlah NSW EXT</t>
  </si>
  <si>
    <t>Inv 14001</t>
  </si>
  <si>
    <t xml:space="preserve">MW22437-AYCA-4PIIN5-2RYD-66-101 Church St Ryde </t>
  </si>
  <si>
    <t>Ryde</t>
  </si>
  <si>
    <t>Inv 13717</t>
  </si>
  <si>
    <t>MW22366-AYCA-117I3H-2RIV-01-34 Station Street Schofields</t>
  </si>
  <si>
    <t>Inv 14217</t>
  </si>
  <si>
    <t>MW22392-AYCA-53Y8BE-2WEL-01-2WEL-01-17 Nicholii St, Montefiores</t>
  </si>
  <si>
    <t>Montefiores</t>
  </si>
  <si>
    <t>Inv 14385</t>
  </si>
  <si>
    <t>MW417R000397-AYCA-5BX3DW-2NEW-23-7-9 Hutchinson St, St Peters - 1</t>
  </si>
  <si>
    <t>St Peters</t>
  </si>
  <si>
    <t>Inv 13716</t>
  </si>
  <si>
    <t xml:space="preserve">MW22454-AYCA-2CVKCU-2ROT-60-60 Wallgrove Rd Easter Creek </t>
  </si>
  <si>
    <t>Inv 14280</t>
  </si>
  <si>
    <t xml:space="preserve">MW22433-AYCA-4OJUJI-2GLB-04-20 Cathcart St Goulburn </t>
  </si>
  <si>
    <t>Goulburn</t>
  </si>
  <si>
    <t>Inv 14203</t>
  </si>
  <si>
    <t xml:space="preserve">MW417R000034-AYCA-44MH0G-2RYD-63-133-137 Bowden Street Meadowbank </t>
  </si>
  <si>
    <t>Meadowbank</t>
  </si>
  <si>
    <t>Inv 13506</t>
  </si>
  <si>
    <t>MW22390-AYCA-4EE89M-2RIV-04-15 Boundary Rd Box Hill</t>
  </si>
  <si>
    <t>Inv 14198</t>
  </si>
  <si>
    <t xml:space="preserve">MW417R000052-AYCA-44H3AU-2STL-65-13 Marshall Avenue St Leonards </t>
  </si>
  <si>
    <t>St Leonards</t>
  </si>
  <si>
    <t xml:space="preserve">MW22474-AYCA-4UE5JN-2LID-03-46-48 Beaumont St </t>
  </si>
  <si>
    <t xml:space="preserve">MW22501-AYCA-4W183C-2WLG-02-71 Auburn St Wollongong </t>
  </si>
  <si>
    <t>Wollongong</t>
  </si>
  <si>
    <t>MW417R000712-AYCA-30GQWB-2ROU-02-16-20 Withers Rd, Kellyville</t>
  </si>
  <si>
    <t>Inv 14104</t>
  </si>
  <si>
    <t xml:space="preserve">MW22526-AYCA-4T7JU2-2MIR-25-13 Dudley Avenue Caringbah South </t>
  </si>
  <si>
    <t>Carringbah</t>
  </si>
  <si>
    <t>Inv 14202</t>
  </si>
  <si>
    <t xml:space="preserve">MW22531-AYCA-413Z64-2PAR-64-2B Darcy Rd Westmead </t>
  </si>
  <si>
    <t>Inv 13866</t>
  </si>
  <si>
    <t>MW22420 - AYCA-4RFDRV - 2KIA-03 - 58 Old Saddleback Road Kiama</t>
  </si>
  <si>
    <t>Inv 14717</t>
  </si>
  <si>
    <t>MW22470-AYCA-2XJBL7-2SIL-02-3 Olympic Blvd Sydney Olympic Park</t>
  </si>
  <si>
    <t>Olympic Park</t>
  </si>
  <si>
    <t xml:space="preserve">MW22478 - AYCA-501QN5 - 2CAS-23 - 30 Pentonville Parade, Castle Hill </t>
  </si>
  <si>
    <t>Inv 14214</t>
  </si>
  <si>
    <t>MW22548-AYCA-48V6NM-2PTH-05-Lord Sheffield Circuit Penrith</t>
  </si>
  <si>
    <t>Inv 14003</t>
  </si>
  <si>
    <t xml:space="preserve">MW22505-AYCA-4KBL5R-2KNS-03-14-18 Primrose Ave &amp; 27-29 Roseberry Ave Rosberry </t>
  </si>
  <si>
    <t>Rosberry</t>
  </si>
  <si>
    <t>Inv 14622</t>
  </si>
  <si>
    <t>MW417R000243-AYCA-56I886-2ASH-64-47 Cecil St, Ashfield</t>
  </si>
  <si>
    <t>Ashfield</t>
  </si>
  <si>
    <t>MW22513 - AYCA-4JW63S - 2CRO-21 - 25-29 Tonkin St Cronulla</t>
  </si>
  <si>
    <t>Cronulla</t>
  </si>
  <si>
    <t>Inv 14006</t>
  </si>
  <si>
    <t>MW22483-AYCA-4IEHVB-2CAH-21-Bottlebrush Place, Lakewood</t>
  </si>
  <si>
    <t>Lakewood</t>
  </si>
  <si>
    <t xml:space="preserve">MW22520-AYCA-48OYT0-2EDG-65-240 New South Head Road Edgecliff </t>
  </si>
  <si>
    <t>Edgecliffe</t>
  </si>
  <si>
    <t>Inv 14260</t>
  </si>
  <si>
    <t>MW22575-AYCA-4LHC6F-2DBB-01-30 Ritz Pl Dubbo</t>
  </si>
  <si>
    <t>Inv 14384</t>
  </si>
  <si>
    <t>MW417R000757-AYCA-59CA2X-2PTH-02-13 Stafford St, Kingswood</t>
  </si>
  <si>
    <t>Inv 14764</t>
  </si>
  <si>
    <t>MW22574 - AYCA-4BBYMK - 2ROU-01 - 184 &amp; 186 Old Pitt Town Rd Box Hill</t>
  </si>
  <si>
    <t>Inv 14055</t>
  </si>
  <si>
    <t xml:space="preserve">MW22547-AYCA-547JTQ-2DBB-04-1D Rawson St Dubbo </t>
  </si>
  <si>
    <t>Inv 14279</t>
  </si>
  <si>
    <t>MW22579-AYCA-4R1C1M-2RIV-07-William St Riverstone</t>
  </si>
  <si>
    <t>Inv 14036</t>
  </si>
  <si>
    <t>MW22580-AYCA-52S52D-2BTH-01-18 Hobson Cl Eglinton</t>
  </si>
  <si>
    <t>Eglinton</t>
  </si>
  <si>
    <t>MW417R000099-AYCA-577BDS-2BLK-07-36 Huntingwood Drive Huntingwood</t>
  </si>
  <si>
    <t>Inv 13913</t>
  </si>
  <si>
    <t>MW22493 - AYCA-4VG4KY - 2LTO-20 -  23-25 Chelmsford Place Leeton</t>
  </si>
  <si>
    <t>Leeton</t>
  </si>
  <si>
    <t>Inv 14201</t>
  </si>
  <si>
    <t>MW417R000065- AYCA-59DV6W-2CRR-72-Nelson St, Fairfield</t>
  </si>
  <si>
    <t>Fairfield</t>
  </si>
  <si>
    <t>Newcastle</t>
  </si>
  <si>
    <t xml:space="preserve">MW417R000077-AYCA-5A2Y34-2MAI-03-100 George St East Maitland </t>
  </si>
  <si>
    <t>East Maitland</t>
  </si>
  <si>
    <t>Inv 14008</t>
  </si>
  <si>
    <t>MW417R000671-9SCU-20-AYCA-52JYBU 7 Buggy Crescent McKellar</t>
  </si>
  <si>
    <t>Mckellar</t>
  </si>
  <si>
    <t>Inv 14004</t>
  </si>
  <si>
    <t xml:space="preserve">MW417R000070-AYCA-52UC2N-2WRO-63-Beech Rd Casula </t>
  </si>
  <si>
    <t>Casula</t>
  </si>
  <si>
    <t>Inv 14142</t>
  </si>
  <si>
    <t xml:space="preserve">MW22469-AYCA-4PQO3D-2EPP-62-12/6 Maida Road Epping </t>
  </si>
  <si>
    <t>Inv 13975</t>
  </si>
  <si>
    <t>MW417R000124-AYCA-58BKNK-2RYD-66-2-6 Junction St Ryde</t>
  </si>
  <si>
    <t>Inv 13924</t>
  </si>
  <si>
    <t>MW417R000098-AYCA-4TC0MT-2QUA-65-50 Farnham Rd, Quakers Hill</t>
  </si>
  <si>
    <t>Quakers Hill</t>
  </si>
  <si>
    <t>MW417R000132-AYCA-4L3R6E-2MIR-26-4-6 Ventura Ave Miranda</t>
  </si>
  <si>
    <t xml:space="preserve">MW417R000139-AYCA-4IIZWC-2STL-60-22-28 Albany St St Leonards </t>
  </si>
  <si>
    <t>St.Leonards</t>
  </si>
  <si>
    <t xml:space="preserve">MW417R000123-AYCA-523PM8-9MNK-01-8 Beaconsfield St Fyshwick ACT </t>
  </si>
  <si>
    <t>Fyshwick</t>
  </si>
  <si>
    <t xml:space="preserve">MW417R000161-AYCA-3D0J11-2ROC-02-15-21 Willis St Wolli Creek </t>
  </si>
  <si>
    <t>Wolli Creek</t>
  </si>
  <si>
    <t>Inv 13993</t>
  </si>
  <si>
    <t>MW417R000222-AYCA-4VFYJV-2BAN-64-27-37 Percy St, Bankstown</t>
  </si>
  <si>
    <t>Inv 14616</t>
  </si>
  <si>
    <t xml:space="preserve">MW417R001737-YCA-5L49UP-2PEN-64-A4 Water Street, Wentworthville </t>
  </si>
  <si>
    <t>Inv 14515</t>
  </si>
  <si>
    <t xml:space="preserve">MW417R000091-AYCA-57S6JD-2REV-20-50/42 Violet St Revesby </t>
  </si>
  <si>
    <t>Inv 14005</t>
  </si>
  <si>
    <t>MW417R000217-AYCA-5ENHJH-2MIL-01-Browning and Colenso Cct Edmondson Park</t>
  </si>
  <si>
    <t>Edmondson Park</t>
  </si>
  <si>
    <t>Inv 14383</t>
  </si>
  <si>
    <t>MW417R001249-AYCA-5FHVE5-2ORG-06-71 Bletchington Street, Orange Ext</t>
  </si>
  <si>
    <t>A417 HFC DFN Comm</t>
  </si>
  <si>
    <t>Inv 13742</t>
  </si>
  <si>
    <t>MW417R000157-2PAR-63-AYCA-4A46K7-208-210 Great Western Hwy, Westmead DFN Design &amp; Construct,  Mob payment</t>
  </si>
  <si>
    <t>Inv 14770</t>
  </si>
  <si>
    <t>MW417R000044-AYCA-4YZZ1I-2ABN-03-149 The Boulevarde, Oak Flats</t>
  </si>
  <si>
    <t>Oak Flats</t>
  </si>
  <si>
    <t>inv 13994</t>
  </si>
  <si>
    <t xml:space="preserve">MW417R000063-AYCA-52381N-2SUX-01-284 River Rd Sussex Inlet </t>
  </si>
  <si>
    <t>Sussex Inlet</t>
  </si>
  <si>
    <t>MW417R000159-AYCA-4EZRCH-2MIR-26-1-3 Higherdale Ave Miranda</t>
  </si>
  <si>
    <t>Inv 13925</t>
  </si>
  <si>
    <t>MW22455 -AYCA-3LT1P4 -  2KEL-08 - Sub of 123 Arnold Ave, Kellyville - 2</t>
  </si>
  <si>
    <t>Inv 13972</t>
  </si>
  <si>
    <t>MW417R000223 - AYCA-5ALZB0 - 2BLK-07 - 6 Woods CL, Huntingwood  Ext</t>
  </si>
  <si>
    <t>Inv 13995</t>
  </si>
  <si>
    <t>MW417R000354-AYCA-57CAFW-2CRO-01-KURNELL 2</t>
  </si>
  <si>
    <t>Kurnell</t>
  </si>
  <si>
    <t>Inv 13971</t>
  </si>
  <si>
    <t>MW417R000149-AYCA-4M2GZ2-2ABN-01-2 Pine Street, Albion Park Rail</t>
  </si>
  <si>
    <t>Albion Park</t>
  </si>
  <si>
    <t>Inv 14271</t>
  </si>
  <si>
    <t>MW417R000553-2NDS-01-STELLAR NPDL_MWR (A417)-Nords Wharf</t>
  </si>
  <si>
    <t>Nords Wharf</t>
  </si>
  <si>
    <t>Inv 13862</t>
  </si>
  <si>
    <t xml:space="preserve">MW417R000553-2NDS-01-STELLAR NPDL_MWR (A417)-Nords Wharf </t>
  </si>
  <si>
    <t>Inv 14617</t>
  </si>
  <si>
    <t>MW417R000773-AYCA-4P6YWU- 2SHH-05-11 Kite Pl, Blackbutt Externals</t>
  </si>
  <si>
    <t>Blackbutt</t>
  </si>
  <si>
    <t>Inv 14325</t>
  </si>
  <si>
    <t xml:space="preserve">MW417R000554-2NYG-20-STELLAR NPDL_MWR (A417)-Nyngan </t>
  </si>
  <si>
    <t>Nyngan</t>
  </si>
  <si>
    <t>Inv 13861</t>
  </si>
  <si>
    <t>MW417R000554-2NYG-20-STELLAR NPDL_MWR (A417)-Nyngan</t>
  </si>
  <si>
    <t>Inv 14588</t>
  </si>
  <si>
    <t>MW417R000556-2ORC-21-STELLAR NPDL_MWR (A417)-Orchard Hills</t>
  </si>
  <si>
    <t>Orchard Hills</t>
  </si>
  <si>
    <t>Inv 13868</t>
  </si>
  <si>
    <t>Inv 14326</t>
  </si>
  <si>
    <t>MW417R000557-2POR-20-STELLAR NPDL_MWR (A417)-Portland</t>
  </si>
  <si>
    <t>Portland</t>
  </si>
  <si>
    <t>Inv 14690</t>
  </si>
  <si>
    <t>MW417R000558 - 2SPW-20 - STELLAR NPDL_MWR (A417)-Springwood</t>
  </si>
  <si>
    <t>Springwood</t>
  </si>
  <si>
    <t>Inv 13869</t>
  </si>
  <si>
    <t>Inv 13864</t>
  </si>
  <si>
    <t>MW417R000218-AYCA-34MTV2-2BUR-07-133 Parramatta Rd, Homebush</t>
  </si>
  <si>
    <t>MW417R000238-AYCA-52OEM0-2MON-25-33 Darley St, East, Mona Vale</t>
  </si>
  <si>
    <t>Inv 14154</t>
  </si>
  <si>
    <t>MW417R000148-AYCA-4Z992M-2LIS-21-2A Napier St Goonellabah; 17 Blue Hills Ave Goonellabah</t>
  </si>
  <si>
    <t>Goonellabah</t>
  </si>
  <si>
    <t>Inv 13830</t>
  </si>
  <si>
    <t>MW22264-AYCA-4YPT3F-145/129 - 2WAG-05-145 Hammond Ave East Wagga Wagga</t>
  </si>
  <si>
    <t>Wagga Wagga</t>
  </si>
  <si>
    <t>MW417R000280-AYCA-481ES7-2BTH-09-65 George St Bathurst Ext</t>
  </si>
  <si>
    <t xml:space="preserve">MW417R000126-2HMK-02-AYCA-56Z0PS-37-49 O'Connor St Chippendale </t>
  </si>
  <si>
    <t>Chippendale</t>
  </si>
  <si>
    <t>Inv 14244</t>
  </si>
  <si>
    <t xml:space="preserve">MW22573-AYCA-LYHJJ-2MTT-02-10 Cardigan St Mittagong </t>
  </si>
  <si>
    <t>Mittagong</t>
  </si>
  <si>
    <t>Inv 13927</t>
  </si>
  <si>
    <t xml:space="preserve">MW417R000151-AYCA-4PBBAI-2RYD-01-6,8,10,12 Anderson Avenue Ryde </t>
  </si>
  <si>
    <t>Inv 14140</t>
  </si>
  <si>
    <t>MW417R000299-AYCA-5AZ97T-2BTH-02-1 Wark Parade, Windradyne</t>
  </si>
  <si>
    <t>Windradyne</t>
  </si>
  <si>
    <t>Inv 13982</t>
  </si>
  <si>
    <t xml:space="preserve">MW417R000298-AYCA-5CSK69-2LIV-03-94 Flowerdale Rd, Liverpool </t>
  </si>
  <si>
    <t>Inv 13833</t>
  </si>
  <si>
    <t xml:space="preserve">MW22481 - AYCA-4R2N0H - 2KEL-08 -6,8,9,11 John Hillas Avenue Kellyville </t>
  </si>
  <si>
    <t>Inv 14240</t>
  </si>
  <si>
    <t xml:space="preserve">MW417R000301-AYCA-5AVN4W-2EPP-62-23-25 Forest Grove, Epping </t>
  </si>
  <si>
    <t>Inv 14152</t>
  </si>
  <si>
    <t>MW417R000300-AYCA-57KT5A-2PTH-02-153 Jamison Rd, Penrith</t>
  </si>
  <si>
    <t>Inv 14157</t>
  </si>
  <si>
    <t xml:space="preserve">MW417R000246 - AYCA-4RTZSH - 2WOY-07 - 25 Phegan Street Woy Woy </t>
  </si>
  <si>
    <t>Woy Woy</t>
  </si>
  <si>
    <t>Inv 14022</t>
  </si>
  <si>
    <t>MW417R000310--AYCA-5DPOWN-2APN-01-13 Technology Dr, Appin EXT</t>
  </si>
  <si>
    <t>Appin</t>
  </si>
  <si>
    <t>Inv 13920</t>
  </si>
  <si>
    <t xml:space="preserve">MW22430-AYCA-5667HJ-2WAG-01-12-16 Beetson Street Boorooma </t>
  </si>
  <si>
    <t>Inv 14728</t>
  </si>
  <si>
    <t>MW417R000559 - 2SPW-21 - STELLAR NPDL_MWR (A417)-Springwood</t>
  </si>
  <si>
    <t>Inv 13873</t>
  </si>
  <si>
    <t>Inv 14589</t>
  </si>
  <si>
    <t>MW417R000560 - 2SPW-28 - STELLAR NPDL_MWR (A417)-Springwood</t>
  </si>
  <si>
    <t>Inv 13867</t>
  </si>
  <si>
    <t>Inv 14210</t>
  </si>
  <si>
    <t>MW417R000561-2WWA-20-STELLAR NPDL_MWR (A417)-Wee Waa</t>
  </si>
  <si>
    <t>Wee Waa</t>
  </si>
  <si>
    <t>Inv 13874</t>
  </si>
  <si>
    <t>MW417R000348 - AYCA-5F1RYP - 2EDG-66 - 114 New South Head Road, Edgecliff</t>
  </si>
  <si>
    <t>MW417R000347-AYCA-397TA7-2TGL-02-6-8 Painters Lane Terrigal</t>
  </si>
  <si>
    <t>Terrigal</t>
  </si>
  <si>
    <t>Inv 14023</t>
  </si>
  <si>
    <t>MW417R000381-2APN-01-AYCA-5DPOWN-13 Technology Drive Appin INT</t>
  </si>
  <si>
    <t>Inv 14155</t>
  </si>
  <si>
    <t>MW417R000141-AYCA-4UXA3J-2ERN-03-1 and 4 Fox Glove Close, Green</t>
  </si>
  <si>
    <t>Green Point</t>
  </si>
  <si>
    <t>Inv 14724</t>
  </si>
  <si>
    <t>MW417R001124-2ALS-01 - Alstonville</t>
  </si>
  <si>
    <t>Alstonville</t>
  </si>
  <si>
    <t>Inv 14053</t>
  </si>
  <si>
    <t>Inv 13926</t>
  </si>
  <si>
    <t>MW417R000364-2ABN-03-AYCA-5DBDK2 -8 Werrang St, Albion Park Rail</t>
  </si>
  <si>
    <t>Inv 14009</t>
  </si>
  <si>
    <t>MW417R000383-AYCA-3MEHNA-9BLC-04-Nevertire St, Lawson</t>
  </si>
  <si>
    <t>Lawson</t>
  </si>
  <si>
    <t>Inv 14000</t>
  </si>
  <si>
    <t>MW417R000346-AYCA-57CH4J-2CRO-01-8/268A Captain Cook Dr, Kurnell</t>
  </si>
  <si>
    <t>MW417R001447-AYCA-5A2PE8-9CRC-06-35 Pademelon St, Throsby, ACT</t>
  </si>
  <si>
    <t>Thorsby</t>
  </si>
  <si>
    <t>Inv 14466</t>
  </si>
  <si>
    <t>MW417R001525-AYCA-4NOC4P-2MIR-22-40 Cawarra Road, Caringbah</t>
  </si>
  <si>
    <t>Inv 13928</t>
  </si>
  <si>
    <t>MW22519 - AYCA-4V3JM3 - 2COR-01 - 69 High Street, Thirroul</t>
  </si>
  <si>
    <t>Thirroul</t>
  </si>
  <si>
    <t>Inv 13781</t>
  </si>
  <si>
    <t>MW417R000504-2KTB-04-166 Great Western Highway, Wentworth Falls</t>
  </si>
  <si>
    <t>Inv 13782</t>
  </si>
  <si>
    <t>MW417R000569-2KTB-02-INC000007293986-Lot 22, 33 Foy Avenue, Medlow Bath</t>
  </si>
  <si>
    <t>Medlow Bath</t>
  </si>
  <si>
    <t>Inv 13784</t>
  </si>
  <si>
    <t xml:space="preserve">MW417R000570-2YAS-01-INC000007561589-Lot 102, 51 Mount St, Yass </t>
  </si>
  <si>
    <t>Inv 13785</t>
  </si>
  <si>
    <t>MW417R000520-2WWY-20-34 Church St, West Wyalong, NSW</t>
  </si>
  <si>
    <t>Inv 13786</t>
  </si>
  <si>
    <t>MW417R000510-2CON-20-74-76 Orange St, Condobolin, NSW-INC000007693413</t>
  </si>
  <si>
    <t>Condobolin</t>
  </si>
  <si>
    <t>Inv 13787</t>
  </si>
  <si>
    <t>MW417R000508-2WAG-06-Lot 220, 23 Crisp Dr, Ashmont, NSW</t>
  </si>
  <si>
    <t>Inv 13788</t>
  </si>
  <si>
    <t>MW417R000503-2CON-20-Lot 11, 15 Busby Street, Condobolin</t>
  </si>
  <si>
    <t>Inv 13789</t>
  </si>
  <si>
    <t>MW417R000507-2ALB-04-Lot 4, 2 Bunker Ct, Albury, NSW-INC000007471430</t>
  </si>
  <si>
    <t>Albury</t>
  </si>
  <si>
    <t>Inv 13790</t>
  </si>
  <si>
    <t>MW417R000511-2LTO-21-Lot 1, 45 Gossamer St, Leeton</t>
  </si>
  <si>
    <t>Inv 13794</t>
  </si>
  <si>
    <t>MW417R000542-2KTB-02-51 DELMONTE AV, MEDLOW BATH-INC000008346619</t>
  </si>
  <si>
    <t>Inv 13791</t>
  </si>
  <si>
    <t>MW417R000516-2HAY-20-Lot 7, 460 Orson St, Hay, NSW-INC000006971761</t>
  </si>
  <si>
    <t>Hay</t>
  </si>
  <si>
    <t>Inv 13792</t>
  </si>
  <si>
    <t>MW417R000587 - INC0000082632412KTB-01 - 24 NELSON RD, KATOOMBA</t>
  </si>
  <si>
    <t>Inv 13795</t>
  </si>
  <si>
    <t xml:space="preserve">MW417R000567-2BLK-05-INC000007924200-UNIT 501, LOT 1, 3 FIRST AV, SEVEN HILLS </t>
  </si>
  <si>
    <t>Seven Hills</t>
  </si>
  <si>
    <t>Inv 13798</t>
  </si>
  <si>
    <t>MW417R000568-2KTB-05-INC000007742541-Lot 18, 30 Christabel Street, Lawson</t>
  </si>
  <si>
    <t>Inv 13863</t>
  </si>
  <si>
    <t>MW417R000521-2KTB-01-42-84 Martin St, Katoomba High School, Katoomba</t>
  </si>
  <si>
    <t>Inv 13815</t>
  </si>
  <si>
    <t>MW417R000576-2NMN-20-INC000007557971-113 WATTLE CR, NARROMINE</t>
  </si>
  <si>
    <t>Narromine</t>
  </si>
  <si>
    <t>Inv 13796</t>
  </si>
  <si>
    <t>MW417R000577-2KTB-03-INC000007929584-127 Craigend St, Leura</t>
  </si>
  <si>
    <t>Leura</t>
  </si>
  <si>
    <t>inv 13783</t>
  </si>
  <si>
    <t>MW417R000514-2WWY-20-12-20 BARNADO ST, WEST WYALONG</t>
  </si>
  <si>
    <t>Inv 14151</t>
  </si>
  <si>
    <t>MW417R000454 -AYCA-4V7F3M -  2LAK-22 - 23 Willeroo St, Lakemba</t>
  </si>
  <si>
    <t>Lakemba</t>
  </si>
  <si>
    <t>Inv 14518</t>
  </si>
  <si>
    <t>MW417R000494-AYCA-21R8AP-2WLG-07-12-14 New Dapto Rd Wollongong</t>
  </si>
  <si>
    <t>MW417R000495-AYCA-4X1Z9M-2MIR-26-58/60 Karimbla Rd, Miranda</t>
  </si>
  <si>
    <t>Inv 14472</t>
  </si>
  <si>
    <t>MW22435-AYCA-5576QH-2TGL-02-3 Ghersi Ave Wambera</t>
  </si>
  <si>
    <t>Wamberal</t>
  </si>
  <si>
    <t>MW417R000462-AYCA-328OYF-2CBT-05-37-41 Chamberlain St, Campbelltown</t>
  </si>
  <si>
    <t>Campbelltown</t>
  </si>
  <si>
    <t>MW417R000518-AYCA-2V9V2D-2HOR-63-2 Cowan Road &amp; 540A-542 Pacific Highway, Mount Colah</t>
  </si>
  <si>
    <t>Mount Colah</t>
  </si>
  <si>
    <t>MW22196 - AYCA-4VVND3 - 2ORG-01 - 258 CLERGATE RD, ORANGE</t>
  </si>
  <si>
    <t>Inv 13983</t>
  </si>
  <si>
    <t>MW417R000529-AYCA-5ALZB0-2BLK-07-6 Woods Cl Huntingwood  Int</t>
  </si>
  <si>
    <t>Inv 14192</t>
  </si>
  <si>
    <t xml:space="preserve">MW417R000543-2PKS-21-AYCA-5866DJ-2 Cecile Street, Parkes </t>
  </si>
  <si>
    <t>Parkes</t>
  </si>
  <si>
    <t>Inv 14161</t>
  </si>
  <si>
    <t xml:space="preserve">MW417R000059-AYCA-59JUMX - 2WAG-02-J83 Trail Street, Wagga Wagga </t>
  </si>
  <si>
    <t>MW417R000625-AYCA-4QDZCA-2STL-61-31-33 Albany St, Crows Nest</t>
  </si>
  <si>
    <t>Crows Nest</t>
  </si>
  <si>
    <t>MW417R000606-AYCA-56PJ6I-2GRK-01-645 Pacific Hwy, Kanwal</t>
  </si>
  <si>
    <t>Kanwal</t>
  </si>
  <si>
    <t>Inv 14164</t>
  </si>
  <si>
    <t>MW417R000468‐2PKS‐20‐AYCA‐4VRIOS‐37 High Street Parkes</t>
  </si>
  <si>
    <t>Inv 14520</t>
  </si>
  <si>
    <t>MW417R000460 - AYCA-58DKIW - 2GFT-20 - 43 Jondaryan Avenue, Griffith</t>
  </si>
  <si>
    <t>Griffith</t>
  </si>
  <si>
    <t>Inv 14265</t>
  </si>
  <si>
    <t>MW417R000338-AYCA-54NU37-9KBA-20-427-177 Newman-Morris Circuit, Oxley, ACT</t>
  </si>
  <si>
    <t>Oxley</t>
  </si>
  <si>
    <t>MW417R000602 - AYCA-49DBF5 - 2CRO-21 - 33-39 Croydon St, Cronulla</t>
  </si>
  <si>
    <t>Sydney CBD</t>
  </si>
  <si>
    <t>MW417R000611-AYCA-4Z6R8L-2DAL-28-148-160 King St, Sydney</t>
  </si>
  <si>
    <t>Project Cancelled by NBN</t>
  </si>
  <si>
    <t>MW417R000209-AYCA-44H5DT-2GRK-02-44 Hakone Rd Woongarrah</t>
  </si>
  <si>
    <t>Woongarrah</t>
  </si>
  <si>
    <t>MW417R000627-AYCA-4VSW7K-2PTH-05-10-12 Vista St, Penrith</t>
  </si>
  <si>
    <t>MW417R000616-AYCA-4VH4MG-2PTH-02-36 Barber Ave, Penrith</t>
  </si>
  <si>
    <t>MW417R000629-AYCA-4OCM1V-2UND-60-260-264 Wardell Rd</t>
  </si>
  <si>
    <t>MW417R000605 - AYCA-4XR9F8 -2ROU-02 -  320 Annangrove Rd, Rouse Hill</t>
  </si>
  <si>
    <t>Inv 14247</t>
  </si>
  <si>
    <t>MW417R000669-AYCA-4QID92-2EAS-63-153-165 Brougham St, Woolloomooloo</t>
  </si>
  <si>
    <t>Inv 14474</t>
  </si>
  <si>
    <t>MW417R000211-AYCA-56B97M-2SEF-61-1 Tangerine St, Fairfield East</t>
  </si>
  <si>
    <t>Inv 14627</t>
  </si>
  <si>
    <t>MW417R000707-AYCA-4QHVO8-2CHL-07-13-15 Pacific Hwy, Gateshead</t>
  </si>
  <si>
    <t>Gateshead</t>
  </si>
  <si>
    <t>MW417R000716-AYCA-3S7B4B-2HMK-02-University of Technology Sydney</t>
  </si>
  <si>
    <t>MW417R000706-AYCA-3O2CEB-2GBE-62-5 Elger St, Glebe</t>
  </si>
  <si>
    <t>Glebe</t>
  </si>
  <si>
    <t>Inv 14638</t>
  </si>
  <si>
    <t>MW22094-AYCA-4LM7HH-2UND-61-590-602 New Canterbury Rd, Hurlstone Park</t>
  </si>
  <si>
    <t>Hurlestone Park</t>
  </si>
  <si>
    <t>MW417R000710-AYCA-55RMFH-2WET-23-1521 The Horsley Dr, Abbotsbury</t>
  </si>
  <si>
    <t>Abbotsbury</t>
  </si>
  <si>
    <t>Inv 14209</t>
  </si>
  <si>
    <t>MW417R000743-AYCA-4K6VYT-2JNB-20-30 Twynam St, Jindabyne</t>
  </si>
  <si>
    <t>Jindabyne</t>
  </si>
  <si>
    <t>Inv 14544</t>
  </si>
  <si>
    <t>MW417R001125-2BMG-20-STELLAR NPDL Bermagui</t>
  </si>
  <si>
    <t>Bermigui</t>
  </si>
  <si>
    <t>Inv 14052</t>
  </si>
  <si>
    <t xml:space="preserve">MW417R000713-AYCA-4LT337-2WET-23-457-463 Victoria Street, Wetherill </t>
  </si>
  <si>
    <t>Wetherill Park</t>
  </si>
  <si>
    <t>Inv 14216</t>
  </si>
  <si>
    <t xml:space="preserve">MW417R000595 - 2PTM-09 - AYCA-4OQ160 - 2PTM-09 - 3 Ocean Ridge Terrace, Port Macquarie </t>
  </si>
  <si>
    <t>A417 HFC DFN</t>
  </si>
  <si>
    <t>Inv 14579</t>
  </si>
  <si>
    <t>MW417R000157-AYCA-4A46K7-2PAR-63-208-210 Great Western Hwy, Westmead DFN Design &amp; Construct</t>
  </si>
  <si>
    <t>Inv 14208</t>
  </si>
  <si>
    <t>MW417R000756-AYCA-593AE3-9QBN-03-12 Uriarra Rd, Queanbeyan</t>
  </si>
  <si>
    <t>Queanbeyan</t>
  </si>
  <si>
    <t>Inv 14264</t>
  </si>
  <si>
    <t>MW417R000741-AYCA-4BC75L-2BLK-11-Fairwater Boulevard, Blacktown</t>
  </si>
  <si>
    <t>MW417R000739-AYCA-3AVVT5-2BRG-01-70 Seventeenth Avenue, Austral</t>
  </si>
  <si>
    <t>Austral</t>
  </si>
  <si>
    <t>Inv 14636</t>
  </si>
  <si>
    <t>MW417R000708-AYCA-57DG41-2BTH-01-93 Stanley St, Bathurst Ext</t>
  </si>
  <si>
    <t>Inv 14200</t>
  </si>
  <si>
    <t>MW417R000745-AYCA-4LISRC-2BRG-03-62 Jamboree Ave, Leppington</t>
  </si>
  <si>
    <t>Leppington</t>
  </si>
  <si>
    <t>Inv 14239</t>
  </si>
  <si>
    <t>MW417R000748-AYCA-4SQA1N-2GRK-06-Eleanor Close, Hamlyn Terrace</t>
  </si>
  <si>
    <t>Hamlyn Terrace</t>
  </si>
  <si>
    <t>Inv 14245</t>
  </si>
  <si>
    <t xml:space="preserve">MW417R000750-AYCA-4W3F0S- 51-53 Foxall Road, Kellyville </t>
  </si>
  <si>
    <t xml:space="preserve">MW417R000774-AYCA-5ECAGW-9QBN-09-79 Sawmill Circuit, Hume </t>
  </si>
  <si>
    <t>Hume</t>
  </si>
  <si>
    <t>MW417R000763-AYCA-5BXBTE-2MIR-27-41 Langer Ave, Caringbah</t>
  </si>
  <si>
    <t>Inv 14162</t>
  </si>
  <si>
    <t>MW417R000755-AYCA-56GK8A-2BLR-03-79 Marmong St, Booragul</t>
  </si>
  <si>
    <t>Booragul</t>
  </si>
  <si>
    <t>Inv 14522</t>
  </si>
  <si>
    <t>MW417R000395 - AYCA-56PP6W-2BAN-67-55-57 Chelmsford Ave, Bankstown</t>
  </si>
  <si>
    <t>A417 Business Segment</t>
  </si>
  <si>
    <t>Inv 14504</t>
  </si>
  <si>
    <t>MW417R000847-AYCA-5I9AIZ-BS-2GFT-21-11 Fairfax Demand Fibre Griffith</t>
  </si>
  <si>
    <t>A401/Greenfield NSB</t>
  </si>
  <si>
    <t>MW417R000877-AYCA-54DAGS-2PTH-07-29 Park Ave Kingswood NSB</t>
  </si>
  <si>
    <t>inv 14278</t>
  </si>
  <si>
    <t>MW417R000844-AYCA-5K7QBN - 9QBN-03-74 Uriarra Road NSB</t>
  </si>
  <si>
    <t>MW417R000845-AYCA-5KAX1D -2MDG-01- 20 Burrundulla Ave Mudgee NSB</t>
  </si>
  <si>
    <t>Mudgee</t>
  </si>
  <si>
    <t>MW417R000461-AYCA-5AXHNZ-2SIL-02-4 Murray Rose Ave, Sydney Olympic Park</t>
  </si>
  <si>
    <t>Sydney Olympic Park</t>
  </si>
  <si>
    <t>Inv 14471</t>
  </si>
  <si>
    <t>MW417R000704-AYCA-57Y170-2BRY-01-17 Hitchcocks Ln, Berry</t>
  </si>
  <si>
    <t>Berry</t>
  </si>
  <si>
    <t>Inv 14470</t>
  </si>
  <si>
    <t>MW417R000775-AYCA-5A18P2-2PKE-04-249 Shellharbour Rd Warrawong</t>
  </si>
  <si>
    <t>Warrawong</t>
  </si>
  <si>
    <t>MW417R000742-AYCA-4E9HF0-2MTT-03--Mittagong</t>
  </si>
  <si>
    <t>MW417R000968-AYCA-5CMO2F-2TAR-01-6 Parish Dr, Beresfield</t>
  </si>
  <si>
    <t>Beresfield</t>
  </si>
  <si>
    <t>MW417R001044-03-AYCA-41DSOU-2ROU-38 Hezlett Road, Kellyville</t>
  </si>
  <si>
    <t>Inv 14197</t>
  </si>
  <si>
    <t>MW417R001022 - AYCA-45LS90 - 2ROU-03 - 8 Withers Rd, Kellyville</t>
  </si>
  <si>
    <t>Inv 14163</t>
  </si>
  <si>
    <t>MW417R001023-AYCA-4KNB05-2BLR-03-20 Myrtle St, Teralba</t>
  </si>
  <si>
    <t>Teralba</t>
  </si>
  <si>
    <t>MW417R001077-AYCA-5A3CT0 - 9MNK-01- 1 Beaconsfield St, Fyshwick</t>
  </si>
  <si>
    <t>Inv 14205</t>
  </si>
  <si>
    <t>MW417R001042-AYCA-4KKMW0-2ROU-03-AYCA-4KKMW0- 55 Foxall Road – 3</t>
  </si>
  <si>
    <t>MW417R001040 - AYCA-4RJS2D - 2CHL-05 - 5 Edge St, Boolaroo</t>
  </si>
  <si>
    <t>Boolaroo</t>
  </si>
  <si>
    <t>Inv 13856</t>
  </si>
  <si>
    <t>MW417R000728- LOC000008822657 - Lot 4, 43 Wentworth St, Blackheath</t>
  </si>
  <si>
    <t>Blackheath</t>
  </si>
  <si>
    <t>Inv 13857</t>
  </si>
  <si>
    <t>MW417R000725-INC000007511350 - Lot 17, 12 Weemilah St, Yass</t>
  </si>
  <si>
    <t>Inv 13858</t>
  </si>
  <si>
    <t>MW417R000727-INC000008070266 - Lot 129, 21 Bruce Street, Tolland</t>
  </si>
  <si>
    <t>Tolland</t>
  </si>
  <si>
    <t>Inv 13859</t>
  </si>
  <si>
    <t xml:space="preserve">MW417R000730-INC000008281172 - 21 AWABA AV, TOLLAND </t>
  </si>
  <si>
    <t>MW417R001041-AYCA-4H9191-2COR-03-208-210 Princes Highway, Bulli</t>
  </si>
  <si>
    <t>Bulli</t>
  </si>
  <si>
    <t>Inv 14698</t>
  </si>
  <si>
    <t xml:space="preserve">MW417R001085-AYCA-583XDD-17-2PTH-02-119 Jamison Rd South Penrith </t>
  </si>
  <si>
    <t>Inv 14277</t>
  </si>
  <si>
    <t>MW417R001036 - AYCA-4QEPUO - 2YAS-01 - 23 Rossi St, Yass</t>
  </si>
  <si>
    <t>Inv 14144</t>
  </si>
  <si>
    <t>MW417R000974-AYCA-5F0TZX- 2AVA-01-6 Bangalley Way, Avalon Beach</t>
  </si>
  <si>
    <t>Avalon</t>
  </si>
  <si>
    <t>Inv 14722</t>
  </si>
  <si>
    <t>MW417R001136-AYCA-33L9HP-2BAN-64-Restwell &amp; Leonard St, Bankstown DFN Design</t>
  </si>
  <si>
    <t>Inv 14085</t>
  </si>
  <si>
    <t>Inv 14632</t>
  </si>
  <si>
    <t>MW417R000893-AYCA-59DV6W - 2CRR-72-Carramar HFC DFN</t>
  </si>
  <si>
    <t>Carramar</t>
  </si>
  <si>
    <t>MW417R001116-AYCA-5FE5LS-2LIV-03-Hoxton Park Road, Liverpool</t>
  </si>
  <si>
    <t>MW417R001121-AYCA-5BOGUQ-2PYM-61-2-6 Womerah Turramurra</t>
  </si>
  <si>
    <t>Turramurra</t>
  </si>
  <si>
    <t>Inv 14281</t>
  </si>
  <si>
    <t>MW417R001092-AYCA-5GPSWE-2CAM-20-100A- 100B Northcote Street, Canterburry</t>
  </si>
  <si>
    <t>Hunter</t>
  </si>
  <si>
    <t>Inv 14145</t>
  </si>
  <si>
    <t>MW417R000067 - AYCA-51V8JL - 2MUS-03 - 11 Thomas Mitchell Dr, Muswellbrook</t>
  </si>
  <si>
    <t>Muswellbrook</t>
  </si>
  <si>
    <t>Inv 14581</t>
  </si>
  <si>
    <t xml:space="preserve">MW417R001078-AYCA-4WVWPI-2ORG-04-31 Molong Road, Orange </t>
  </si>
  <si>
    <t>Inv 14234</t>
  </si>
  <si>
    <t>MW417R001147-AYCA-4T8B52-2ROU-04-3 Edwards Road, Box Hill</t>
  </si>
  <si>
    <t>Inv 14727</t>
  </si>
  <si>
    <t>MW417R001126-2GUN-01-STELLAR NPDL-Gunnedah</t>
  </si>
  <si>
    <t>Gunnedah</t>
  </si>
  <si>
    <t>Inv 14038</t>
  </si>
  <si>
    <t>Inv 14266</t>
  </si>
  <si>
    <t xml:space="preserve">MW417R001128 - 2HMK-04 - STELLAR NPDL_Haymarket </t>
  </si>
  <si>
    <t>Haymarket</t>
  </si>
  <si>
    <t>Inv 14037</t>
  </si>
  <si>
    <t>Inv 14645</t>
  </si>
  <si>
    <t>MW417R001129 - 2KRI-01 - STELLAR NPDL-Kurri Kurri</t>
  </si>
  <si>
    <t>Kurri Kurri</t>
  </si>
  <si>
    <t>Inv 14039</t>
  </si>
  <si>
    <t>Inv 14725</t>
  </si>
  <si>
    <t>MW417R001130-2MAC-20-STELLAR NPDL-Macksville</t>
  </si>
  <si>
    <t>Macksville</t>
  </si>
  <si>
    <t>Inv 14050</t>
  </si>
  <si>
    <t>inv 14524</t>
  </si>
  <si>
    <t>MW417R001131-2MYA-01-STELLAR NPDL-Moruya</t>
  </si>
  <si>
    <t>Moruya</t>
  </si>
  <si>
    <t>Inv 14040</t>
  </si>
  <si>
    <t>Inv 14723</t>
  </si>
  <si>
    <t>MW417R001132-2WRD-20-STELLAR NPDL-Warialda</t>
  </si>
  <si>
    <t>Warialda</t>
  </si>
  <si>
    <t>Inv 14051</t>
  </si>
  <si>
    <t>MW417R001133-9BLC-04-STELLAR NPDL-Belconnen</t>
  </si>
  <si>
    <t>Belconnen</t>
  </si>
  <si>
    <t>Inv 1468</t>
  </si>
  <si>
    <t>MW417R001134-9DKI-23-STELLAR NPDL-Deakin</t>
  </si>
  <si>
    <t>Deakin</t>
  </si>
  <si>
    <t>Inv 14273</t>
  </si>
  <si>
    <t>MW417R001247-2WLH-20-STELLAR NPDL_MWR (A417)-Walcha</t>
  </si>
  <si>
    <t>Walcha</t>
  </si>
  <si>
    <t>Inv 14086</t>
  </si>
  <si>
    <t>Inv 14165</t>
  </si>
  <si>
    <t>MW417R001248-2MIR-21-STELLAR NPDL_MWR (A417)-Miranda</t>
  </si>
  <si>
    <t>Inv 14324</t>
  </si>
  <si>
    <t>MW417R001252-2KYO-20-STELLAR NPDL_MWR (A417)- Kyogle</t>
  </si>
  <si>
    <t>Kyogle</t>
  </si>
  <si>
    <t>Inv 14272</t>
  </si>
  <si>
    <t>MW417R001255-9DKI-04-STELLAR NPDL_MWR (A417)-Deakin</t>
  </si>
  <si>
    <t>Inv 14101</t>
  </si>
  <si>
    <t>Inv 14246</t>
  </si>
  <si>
    <t>MW417R001164-AYCA-1WRX9J -2ROU-03- 20 Foxall Road, Kellyville</t>
  </si>
  <si>
    <t>Inv 14275</t>
  </si>
  <si>
    <t xml:space="preserve">MW417R001195--AYCA-5D4EG4-2CAS-238 Totness Court, Castle Hill </t>
  </si>
  <si>
    <t>Inv 14467</t>
  </si>
  <si>
    <t>MW417R000970 - AYCA-4Q27NU - 2BRG-03 - 50 Raby Rd, Gledswood Hills</t>
  </si>
  <si>
    <t>MW417R001253-AYCA-5BRJ2L-2CBT-01-93-97 Broughton St, Campbelltown</t>
  </si>
  <si>
    <t>Inv 14542</t>
  </si>
  <si>
    <t>MW417R000875-AYCA-4P6YWU-2SHH-05-11 Kite Pl Blackbutt Internals</t>
  </si>
  <si>
    <t>Inv 14159</t>
  </si>
  <si>
    <t>MW417R000747-AYCA-4SM3QD-2MAI-09-63 Melrose St, Lorn</t>
  </si>
  <si>
    <t>Lorn</t>
  </si>
  <si>
    <t>Inv 14580</t>
  </si>
  <si>
    <t>MW417R001257-2KRI-20-STELLAR NPDL_MWR (A417)-Kurri kurri</t>
  </si>
  <si>
    <t>Inv 14099</t>
  </si>
  <si>
    <t>Inv 14736</t>
  </si>
  <si>
    <t>MW417R001258-2ORC-22-STELLAR NPDL_MWR (A417)-Orchard Hills</t>
  </si>
  <si>
    <t>Inv 14103</t>
  </si>
  <si>
    <t>Inv 14721</t>
  </si>
  <si>
    <t>MW417R001260-2SWR-20-STELLAR NPDL_MWR (A417)-South West Rocks</t>
  </si>
  <si>
    <t>South West Rocks</t>
  </si>
  <si>
    <t>Inv 14100</t>
  </si>
  <si>
    <t>Inv 13847</t>
  </si>
  <si>
    <t>2BRX-01-AYCA-41AL6Q</t>
  </si>
  <si>
    <t>Branxton</t>
  </si>
  <si>
    <t>Inv 14691</t>
  </si>
  <si>
    <t>MW417R001261-2TTF-20-STELLAR NPDL_MWR (A417)-Tenterfield</t>
  </si>
  <si>
    <t>Tenterfield</t>
  </si>
  <si>
    <t>Inv 10498</t>
  </si>
  <si>
    <t>Inv 14102</t>
  </si>
  <si>
    <t>MW417R001262-2WAL-20-STELLAR NPDL_MWR (A417)-Wallerawang</t>
  </si>
  <si>
    <t>Wallerawang</t>
  </si>
  <si>
    <t>Inv 14503</t>
  </si>
  <si>
    <t>MW417R001188-AYCA-48QOI8-2NRN-05-Lodges Road, Elderslie</t>
  </si>
  <si>
    <t>Inv 14261</t>
  </si>
  <si>
    <t>MW417R001196-AYCA-5CYZU8-2ROU-02-12 Highgate Circuit, Kellyville</t>
  </si>
  <si>
    <t>Inv 14683</t>
  </si>
  <si>
    <t>MW417R001274 - AYCA-5FK9G7 - 2TEM-20 - 113-115 Baker Street Temora NSB</t>
  </si>
  <si>
    <t>Temora</t>
  </si>
  <si>
    <t>Inv 14519</t>
  </si>
  <si>
    <t>MW417R001266-AYCA-56GQ2L-2RCH-02-62 Argyle Street South Windsor NSB</t>
  </si>
  <si>
    <t>Windsor</t>
  </si>
  <si>
    <t>MW417R001267-AYCA-55JR8W-2NEW-21-228 King Street, Newtown</t>
  </si>
  <si>
    <t>Newtown</t>
  </si>
  <si>
    <t xml:space="preserve">MW417R001264-AYCA-4ND19Q-2ROC-22- Chapel Street Rockdale </t>
  </si>
  <si>
    <t>Rockdale</t>
  </si>
  <si>
    <t>Inv 14785</t>
  </si>
  <si>
    <t>MW417R001310-AYCA-5N0IF2-2CFS-03-30 Park Ave Coffs Harbour NSB</t>
  </si>
  <si>
    <t>Coffs Harbour</t>
  </si>
  <si>
    <t>Inv 14441</t>
  </si>
  <si>
    <t xml:space="preserve">MW417R001115-AYCA-591MZC-2CRO-21-CRONULLA 88 DEVELOPMENTS </t>
  </si>
  <si>
    <t>Inv 14521</t>
  </si>
  <si>
    <t>MW417R001216 - AYCA-56GE93 - 2NMN-20 -10 Dandaloo St, Narromine</t>
  </si>
  <si>
    <t>MW417R001256 - AYCA-Y8UNL - 2BUR-03 - Burwood Grand - 1</t>
  </si>
  <si>
    <t>MW417R001241-AYCA-5MNUDQ-2KNS-03-221 Queen Street Beaconsfield NSB</t>
  </si>
  <si>
    <t>Beaconsfield</t>
  </si>
  <si>
    <t>Inv 14468</t>
  </si>
  <si>
    <t>MW417R001246-AYCA-5FA5OM-2MIR-24-4-6 Crammond Boulevard, Caringbah Ext</t>
  </si>
  <si>
    <t>MW417R001352-AYCA-3JJIX9-2MIR-28-13-21 University Rd and 1-5 Pinnacle St, Miranda</t>
  </si>
  <si>
    <t>MW417R001369 - AYCA-5DL8UH - 2MRE-02 - Boland Drive Moree NSB</t>
  </si>
  <si>
    <t>Moree</t>
  </si>
  <si>
    <t xml:space="preserve">MW417R001351-AYCA-2LCFXK-2BUR-65-Skyview </t>
  </si>
  <si>
    <t>MW417R001366-AYCA-5FA5OM-2MIR-24-4-6 Crammond Boulevard Caringbah Int</t>
  </si>
  <si>
    <t>Inv 14475</t>
  </si>
  <si>
    <t xml:space="preserve">MW417R001335-AYCA-4RH5YY-2ROU-01-32 George St Box Hill </t>
  </si>
  <si>
    <t>Inv 14586</t>
  </si>
  <si>
    <t>MW417R001610-AYCA-5NNV14-2NBR-20-30 Barwan Street, Narrabri</t>
  </si>
  <si>
    <t>Narrabri</t>
  </si>
  <si>
    <t>Business Segment</t>
  </si>
  <si>
    <t>MW417R001919-AYCA-5OZYD0-2ERP-20-204-214 Chandos St Horsley Park</t>
  </si>
  <si>
    <t>Horsley Park</t>
  </si>
  <si>
    <t>David Yeomans</t>
  </si>
  <si>
    <t>Inv 14741</t>
  </si>
  <si>
    <t>MW417R001920-AYCA-5OZYGU-2ERP-20-194-204 Chandos Rd Horsley Park</t>
  </si>
  <si>
    <t>inv 14494</t>
  </si>
  <si>
    <t>MW417R001948-2LIV-04-AYCA-5BV5Z8-SHOP M4, LEVEL 2, WESTFIELD LIVERPOOL</t>
  </si>
  <si>
    <t>Inv 14575</t>
  </si>
  <si>
    <t>MW417R001950-2LIV-04-AYCA-5BV5ZG-SHOP DDS1, LEVEL 2, WESTFIELD LIVERPOOL</t>
  </si>
  <si>
    <t>Inv 14495</t>
  </si>
  <si>
    <t>MW417R001951-2PTH-05-AYCA-5BXC7Q-SHOP 01A2, LEVEL 1, 585 HIGH STREET</t>
  </si>
  <si>
    <t>Inv 14469</t>
  </si>
  <si>
    <t>MW417R001952-2PTH-05-AYCA-5BXC7I-SHOP A5, FLOOR 2, 585 HIGH STREET, PENRITH</t>
  </si>
  <si>
    <t>Inv 14496</t>
  </si>
  <si>
    <t>MW417R001953-2ROC-02-AYCA-5BXC86-DAN MURPHYS, 78-98 ARNCLIFFE STREET</t>
  </si>
  <si>
    <t>Inv 14497</t>
  </si>
  <si>
    <t>MW417R001954-2ROC-02-AYCA-5BXC8E-WOOLWORTHS, SHOP 1, 78-98 ARNCLIFFE STREET</t>
  </si>
  <si>
    <t>Inv 14498</t>
  </si>
  <si>
    <t>MW417R001955-2NRN-02-AYCA-5GNS0T-SHOP 1, 11-13 MAIN STREET, MOUNT ANNAN</t>
  </si>
  <si>
    <t>Mt Annan</t>
  </si>
  <si>
    <t>Inv 14386</t>
  </si>
  <si>
    <t>MW417R001276-AYCA-50T2L6-2TUM-20-76 Capper St, Tumut</t>
  </si>
  <si>
    <t>Tumut</t>
  </si>
  <si>
    <t>Inv 14499</t>
  </si>
  <si>
    <t>MW417R001956-2CBT-02-AYCA-5GNRZH-WOOLWORTHS, SHOP MO1, MARKETFAIR</t>
  </si>
  <si>
    <t>Inv 14336</t>
  </si>
  <si>
    <t xml:space="preserve">MW417R001487-AYCA-55ZVL2-2ROU-03-45 Foxall Rd Kellyville </t>
  </si>
  <si>
    <t>Inv 14335</t>
  </si>
  <si>
    <t>MW417R001420-AYCA-5FHVE5-2ORG-06-71 Bletchington Street Orange Int</t>
  </si>
  <si>
    <t xml:space="preserve">MW417R001530 - AYCA-5CXXCR - 2BTM-21 - 30 Golf Links Dr, Batemans Bay </t>
  </si>
  <si>
    <t>Batemans Bay</t>
  </si>
  <si>
    <t>Inv 14262</t>
  </si>
  <si>
    <t>MW417R001497-AYCA-4BC964-2BLK-11-Fairwater Boulevard Blacktown</t>
  </si>
  <si>
    <t>MW417R001524-AYCA-45U68U-2PTH-12-5 CULLEN AV, JORDAN SPRINGS</t>
  </si>
  <si>
    <t>Jordan Springs</t>
  </si>
  <si>
    <t>Inv 14637</t>
  </si>
  <si>
    <t xml:space="preserve">MW417R001290 - AYCA-50OJVS - 2DNQ-22 - 419 Kelly St, Deniliquin </t>
  </si>
  <si>
    <t>Deniliquin</t>
  </si>
  <si>
    <t>MW417R001526-AYCA-2RG791-2PEN-61-5-19 Toongabbie Rd , Toongabbie</t>
  </si>
  <si>
    <t>Toongabbie</t>
  </si>
  <si>
    <t>MW417R001505-AYCA-4ZNBL1-2EPP-60-The Gateway on Pembroke Epping DFN</t>
  </si>
  <si>
    <t>Inv 14195</t>
  </si>
  <si>
    <t xml:space="preserve">MW417R001664-AYCA-587UWZ-9CVI-22-7 Lowrie Street Dickson ACT </t>
  </si>
  <si>
    <t>Dickson</t>
  </si>
  <si>
    <t>Inv 14585</t>
  </si>
  <si>
    <t xml:space="preserve">MW417R001652 - AYCA-5ML96W -2LIV-61 - 24 Blackwood Avenue Casula </t>
  </si>
  <si>
    <t xml:space="preserve">MW417R001665-AYCA-53R6D6-9BLC-04-Nest 3 </t>
  </si>
  <si>
    <t>Gungarlin</t>
  </si>
  <si>
    <t>Inv 14516</t>
  </si>
  <si>
    <t>MW417R001659-AYCA-54E9AY-2MER-21-RESIDENTIAL ESTATE - 4 (Block A &amp; B), Picton</t>
  </si>
  <si>
    <t>Picton</t>
  </si>
  <si>
    <t>MW417R001667 - AYCA-55XM3V - 2HBD-20 -10-12 Roger St, Brookvale</t>
  </si>
  <si>
    <t>Brookvale</t>
  </si>
  <si>
    <t>MW417R001630 - AYCA-5PBMZD - 2URL-20 - 14 SALISBURY ST URALLA NSB</t>
  </si>
  <si>
    <t>Uralla</t>
  </si>
  <si>
    <t>Inv 14517</t>
  </si>
  <si>
    <t>MW417R001661-AYCA-5JRURV-9BLC-20-37 Belconnen Way, Weetangera, ACT Ext</t>
  </si>
  <si>
    <t>Weetangera</t>
  </si>
  <si>
    <t>Inv 14769</t>
  </si>
  <si>
    <t xml:space="preserve">MW417R001687-AYCA-4DQ6PX-2NRN-06-Estate-Cobbitty Rd Cobbitty </t>
  </si>
  <si>
    <t>Cobbitty</t>
  </si>
  <si>
    <t xml:space="preserve">MW417R001688-2AYCA-4MFJ6I-CFS-03-65 Victoria Street Coffs Harbour </t>
  </si>
  <si>
    <t>Inv 14635</t>
  </si>
  <si>
    <t>MW417R001770 - AYCA-5N4YCV - 2BTH-02 - 5 Watt Drive, Robin Hill Ext</t>
  </si>
  <si>
    <t xml:space="preserve">MW417R001721-AYCA-5M7EQR-2NWR-01-40 Basil Street South Nowra </t>
  </si>
  <si>
    <t>Sth Nowra</t>
  </si>
  <si>
    <t xml:space="preserve">MW417R001729 - AYCA-5KIP6Y - 2WLG-07 - 45 Rosemont Street West Wollongong </t>
  </si>
  <si>
    <t>Inv 14761</t>
  </si>
  <si>
    <t xml:space="preserve">MW417R001750-AYCA-4DQ9I8-2NRN-06-Cobbitty Rd Cobbitty </t>
  </si>
  <si>
    <t>MW417R001563-AYCA-5FHXRP-2HUH-22-75 Park Road, Hunters Hill</t>
  </si>
  <si>
    <t>Hunters Hill</t>
  </si>
  <si>
    <t xml:space="preserve">MW417R001755-AYCA-5FEXSP-2PEN-61-103-105 Metella Road, Toongabbie DFN </t>
  </si>
  <si>
    <t>Inv 14263</t>
  </si>
  <si>
    <t>Inv 14584</t>
  </si>
  <si>
    <t>MW417R001786 - AYCA-5B4OYT - 2ULL-04 - The Lakes - 9A</t>
  </si>
  <si>
    <t xml:space="preserve">Burrill Lake </t>
  </si>
  <si>
    <t>Inv 14583</t>
  </si>
  <si>
    <t>MW417R001787 - AYCA-57Y4AJ - 2MIL-02 - 2140 Camden Valley Way - 1</t>
  </si>
  <si>
    <t>Inv 14634</t>
  </si>
  <si>
    <t xml:space="preserve">MW417R002015-AYCA-568KCW-2GER-01-Mayflower Gerringong </t>
  </si>
  <si>
    <t>Gerringong</t>
  </si>
  <si>
    <t>inv 14502</t>
  </si>
  <si>
    <t>MW417R001768-AYCA-5GWBTB-2TAH-01-4 Davies Place, Picton</t>
  </si>
  <si>
    <t>Inv 14633</t>
  </si>
  <si>
    <t xml:space="preserve">MW417R001785-AYCA-5ML96W-2LIV-61- Blackwood Avenue Casula </t>
  </si>
  <si>
    <t>Inv 14720</t>
  </si>
  <si>
    <t>MW417R001805-AYCA-5DVB9M-2ROC-02-4 Magdalene Terrace, Wolli Creek</t>
  </si>
  <si>
    <t>Inv 14251</t>
  </si>
  <si>
    <t>MW417R002566 - 2WAG-02 -INC000008944090 - Lot 57, 18 Incarnie Cr, Wagga Wagga</t>
  </si>
  <si>
    <t>Inv 14250</t>
  </si>
  <si>
    <t>MW417R002567-2WAG-06  INC000008340723 - UNIT 3, 12 WEWAK ST, ASHMONT</t>
  </si>
  <si>
    <t>Inv 14643</t>
  </si>
  <si>
    <t xml:space="preserve">MW417R001864-AYCA-5MT9Y3-9BON-03-Bon Scott Crescent, Moncrieff , ACT Ext </t>
  </si>
  <si>
    <t>Moncrieff</t>
  </si>
  <si>
    <t>MW417R001793-AYCA-4WB37J-2FRE-61-36 Pringle Ave, Belrose HFC DFN</t>
  </si>
  <si>
    <t>Frenchs Forest</t>
  </si>
  <si>
    <t>Inv 14323</t>
  </si>
  <si>
    <t xml:space="preserve">MW417R001670-AYCA-5ETO6E - 2TAM-07-7 Jack Smyth Drive, Hillvue </t>
  </si>
  <si>
    <t>Tamworth</t>
  </si>
  <si>
    <t>MW417R001887-AYCA-41FBT3-2NSY-02-231 Miller St, North Sydney</t>
  </si>
  <si>
    <t>North Sydney</t>
  </si>
  <si>
    <t>Inv 14712</t>
  </si>
  <si>
    <t>MW417R001876-2AYCA-4R1E3Q-PTH-02-144-148 High Street &amp; 35-37 Barber Avenue, Penrith</t>
  </si>
  <si>
    <t>MW417R001892-AYCA-5LC14Q-2NSY-21-100 Mount street, North sydney</t>
  </si>
  <si>
    <t>MW417R001868 -AYCA-5QTMEE -  2KEL-07 -  68-82 Fairway Drive Kellyville NSB</t>
  </si>
  <si>
    <t xml:space="preserve">MW417R001859-AYCA-5NM0LP-2BUR-65-118 Burwood Road, Croydon Park </t>
  </si>
  <si>
    <t>Croydon Park</t>
  </si>
  <si>
    <t>Inv 14545</t>
  </si>
  <si>
    <t>MW417R001958-2SHH-04-AYCA-5GNS19-SHOP 1097, 211 LAKE ENTRANCE ROAD</t>
  </si>
  <si>
    <t>ShellHarbour</t>
  </si>
  <si>
    <t>Inv 14493</t>
  </si>
  <si>
    <t xml:space="preserve">MW417R001961-2ABN-02-AYCA-5GN6MZ-SHOP 2, 1 RUSSELL STREET, ALBION PARK </t>
  </si>
  <si>
    <t>Inv 14719</t>
  </si>
  <si>
    <t>MW417R001910-2AYCA-2M3M8J-PTH-05-72-84 Empire Circuit, Penrith</t>
  </si>
  <si>
    <t>MW417R001878-AYCA-1XN8L5-2KEL-07-9 Affleck Circuit, 9 Affleck Circuit</t>
  </si>
  <si>
    <t>Inv 14623</t>
  </si>
  <si>
    <t>MW417R001903-AYCA-5JRURV-9BLC-20-Estate-37 Belconnen Way Weetangera ACT Int</t>
  </si>
  <si>
    <t>MW417R001914 - AYCA-4DBFGM - 2NEW-20 - 87 Parramatta Rd, Camperdown</t>
  </si>
  <si>
    <t>Camperdown</t>
  </si>
  <si>
    <t>MW417R001917-AYCA-2L9FVY-2HOR-02-117-119 Pacific Hwy, Hornsby</t>
  </si>
  <si>
    <t>Hornsby</t>
  </si>
  <si>
    <t>MW417R001916-AYCA-4DW3WX-2HOR-62-18-22 Lords Ave + 421-425 Pacific Hwy, Asquith</t>
  </si>
  <si>
    <t>MW417R001913-AYCA-35V4R1-2HOM-03-208-214 Parramatta Rd, Homebush</t>
  </si>
  <si>
    <t>inv 14500</t>
  </si>
  <si>
    <t>MW417R001847-AYCA-5K3OHQ-9KBA-23-93 Ivo Whitton Circuit, Kambah</t>
  </si>
  <si>
    <t>Kambah</t>
  </si>
  <si>
    <t>Inv 14615</t>
  </si>
  <si>
    <t xml:space="preserve">MW417R001760-AYCA-5JYO3A-2KNS-03-1B Maddox Street, Alexandria </t>
  </si>
  <si>
    <t>Alexandria</t>
  </si>
  <si>
    <t>Shankar Acharya</t>
  </si>
  <si>
    <t>Inv 14640</t>
  </si>
  <si>
    <t>MW417R001874 - AYCA-512UVL - 2WYO-03 - Marineres Centre of Excellence</t>
  </si>
  <si>
    <t>Inv 14631</t>
  </si>
  <si>
    <t>MW417R000463-AYCA-48HHL8-2MIR-28-2-22 University Rd &amp; 660-664</t>
  </si>
  <si>
    <t xml:space="preserve">MW417R001980-AYCA-5M4R4N-2SHA-64-76 Irwin Street, Werrington </t>
  </si>
  <si>
    <t>Werrington</t>
  </si>
  <si>
    <t>MW417R001992-AYCA-4UF84M--2LIV-04-52 Copeland Street, Liverpool</t>
  </si>
  <si>
    <t>MW417R001994-AYCA-3CIGB0-2WRO-63-1-3 Balmoral St, Waitara</t>
  </si>
  <si>
    <t>MW417R001990-AYCA-YGLEJ-9CVI-03-RSL Head quarter and Residential - 1</t>
  </si>
  <si>
    <t>Civic</t>
  </si>
  <si>
    <t xml:space="preserve">MW417R001986-AYCA-52VCLT-2NEW-20-Annandale Place - </t>
  </si>
  <si>
    <t>Inv 14642</t>
  </si>
  <si>
    <t>MW417R001982-AYCA-4EITU0-2LIV-02-10 Norfolk St, Liverpool</t>
  </si>
  <si>
    <t xml:space="preserve">MW417R002016-AYCA-5K2YBV-2CFS-03-Victoria Terrace </t>
  </si>
  <si>
    <t>Inv 14577</t>
  </si>
  <si>
    <t>MW417R000790-AYCA-57DG41 -2BTH-01-93 Stanley St Bathurst Int</t>
  </si>
  <si>
    <t>NBN FttC MDUs</t>
  </si>
  <si>
    <t>Inv 14641</t>
  </si>
  <si>
    <t>MW417R001946-2HOR-20-MELLAR NPDL_MWR (A417)</t>
  </si>
  <si>
    <t>Greg Mouller</t>
  </si>
  <si>
    <t>Inv 14682</t>
  </si>
  <si>
    <t>MW417R001947-2HOR-02-MELLAR NPDL_MWR (A417)</t>
  </si>
  <si>
    <t xml:space="preserve">MW417R002005-AYCA-4BA1DQ-2SEF-01-Hillside </t>
  </si>
  <si>
    <t>Hillside</t>
  </si>
  <si>
    <t>MW417R002021-AYCA-4IIZWC-2STL-66-28 Albany St, St Leonards DFN HFC</t>
  </si>
  <si>
    <t>Inv 14393</t>
  </si>
  <si>
    <t>Inv 14501</t>
  </si>
  <si>
    <t xml:space="preserve">MW417R001461-AYCA-5IWI3A-2WLL-20-26 Queen St, Stockton </t>
  </si>
  <si>
    <t>Stockton</t>
  </si>
  <si>
    <t>Inv 14576</t>
  </si>
  <si>
    <t>MW417R001968 - AYCA-5N4YCV - 2BTH-02 - 5 Watt Drive Robin Hill Int</t>
  </si>
  <si>
    <t xml:space="preserve">MW417R002070 - AYCA-5M7EQR - 2NWR-01 - 40 Basil Street, South Nowra </t>
  </si>
  <si>
    <t>South Nowra</t>
  </si>
  <si>
    <t>MW417R002071 - AYCA-5L8461 -9CVI-21 -14 Holder Street, Turner</t>
  </si>
  <si>
    <t>Turner</t>
  </si>
  <si>
    <t xml:space="preserve">MW417R002072 - AYCA-5G4WE4 - 2MON-20 - 1473 Pittwater Road, North Narrabeen </t>
  </si>
  <si>
    <t>Nth Narrabeen</t>
  </si>
  <si>
    <t>Inv 14514</t>
  </si>
  <si>
    <t>MW417R002023 - AYCA-5PIVSY -2BTH-02 -  11 Lombard Drive, Robin Hill Int</t>
  </si>
  <si>
    <t>Inv 14644</t>
  </si>
  <si>
    <t xml:space="preserve">MW417R002106-AYCA-53Y6BS-9BON-03-Bon Scott Crescent, Moncrieff, ACT </t>
  </si>
  <si>
    <t>MW417R001691 - AYCA-5PYJJF - 2KCL-02 - Sailfish Way &amp; Seaside Drive Kingscliff NSB</t>
  </si>
  <si>
    <t>Kingscliff</t>
  </si>
  <si>
    <t>MW417R001962 - AYCA-4W844H- 2DNM-20 - Grey Gum Road, Denman - 1</t>
  </si>
  <si>
    <t>Denman</t>
  </si>
  <si>
    <t xml:space="preserve">MW417R002112-AYCA-4UFUW5-9MNS-25-Block 15, Section 56, Monash </t>
  </si>
  <si>
    <t>Monash</t>
  </si>
  <si>
    <t>Inv 14639</t>
  </si>
  <si>
    <t xml:space="preserve">MW417R002121-AYCA-5JF564-9BLC-21-9 Braybrooke Street, Bruce </t>
  </si>
  <si>
    <t>Bruce</t>
  </si>
  <si>
    <t xml:space="preserve">MW417R002154-AYCA-5MWJQ4-2MAC-22-222 Wallace St Macksville </t>
  </si>
  <si>
    <t xml:space="preserve">MW417R001939 - AYCA-56YY5F - 2CRR-65 - 120-122 Hume Highway, Canley Vale </t>
  </si>
  <si>
    <t>Canley Vale</t>
  </si>
  <si>
    <t xml:space="preserve">MW417R002155-AYCA-5KDIAQ-2ERP-60-67 Newleaf Parade, Bonnyrigg </t>
  </si>
  <si>
    <t>Bonnyrigg</t>
  </si>
  <si>
    <t>Inv 14718</t>
  </si>
  <si>
    <t>MW417R002169-AYCA-55AZ5J-2ASH-63-2 Smith st, Summer Hill</t>
  </si>
  <si>
    <t>Summer Hill</t>
  </si>
  <si>
    <t xml:space="preserve">MW417R002160-AYCA-4L1IJG-2SWR-20-19 Gregory Street </t>
  </si>
  <si>
    <t>MW417R002170-AYCA-5OO3VM-2WLG-01- Victoria Street, Wollongong</t>
  </si>
  <si>
    <t>MW417R002159-AYCA-5PIMJX-2STL-66-36A Park Road, Naremburn</t>
  </si>
  <si>
    <t>Naremburn</t>
  </si>
  <si>
    <t>Inv 14760</t>
  </si>
  <si>
    <t xml:space="preserve">MW417R002173-AYCA-5S2CD6-2GFT-21-40 Dunn Avenue, Leeton </t>
  </si>
  <si>
    <t>MW417R002182-AYCA-4PRYRR-2PAR-63-161-163 Great Western Hwy, Mays Hill</t>
  </si>
  <si>
    <t>Mays Hill</t>
  </si>
  <si>
    <t>MW417R002172-AYCA-5MHAO7-2SIL-02-NSWRL Centre of Excellence - 1</t>
  </si>
  <si>
    <t>Silverwater</t>
  </si>
  <si>
    <t>MW417R002018-AYCA-5MCPUX-9SCU-23-151 Drake-Brockman Drive Higgins ACT</t>
  </si>
  <si>
    <t>Higgins</t>
  </si>
  <si>
    <t>MW417R002241-AYCA-43APKG-2HOM-20-6-14 Cosgrove Road, Strathfield</t>
  </si>
  <si>
    <t>MW417R002246-AYCA-4P3YPZ-2BAN-67-107 Chapel Road South, Bankstown</t>
  </si>
  <si>
    <t>MW417R002156-AYCA-5F1MOI-2MSV-03-Martha Street, Bowral</t>
  </si>
  <si>
    <t>Bowral</t>
  </si>
  <si>
    <t>MW417R002183 - AYCA-5KIP6Y -2WLG-07-45 Rosemont Street, West Wollongong</t>
  </si>
  <si>
    <t>MW417R002120-AYCA-5FILA6-2BOW-20--12 Marsden Street, Boorowa</t>
  </si>
  <si>
    <t>Boorowa</t>
  </si>
  <si>
    <t>MW417R002221 - AYCA-54A0VP - 2PYM-62 - 7 Cherry St, Warrawee</t>
  </si>
  <si>
    <t>Warrawee</t>
  </si>
  <si>
    <t>MW417R002226-AYCA-4PEEEK - 2RYD-63- 17-21 Ryedale Rdm West Ryde  HFC DFN</t>
  </si>
  <si>
    <t>West Ryde</t>
  </si>
  <si>
    <t>Inv 14799</t>
  </si>
  <si>
    <t xml:space="preserve">MW417R002299-AYCA-5MVKQ1-9BON-03-1 O'Keefe Avenue, Moncrieff, ACT </t>
  </si>
  <si>
    <t xml:space="preserve">MW417R002295-AYCA-5AZA4J-9SCU-08-BLOCK 26 SECTION 124, Holt, ACT </t>
  </si>
  <si>
    <t>Holt</t>
  </si>
  <si>
    <t>MW417R002292-AYCA-49OZC4-2EAS-65-257 Oxford St - 1</t>
  </si>
  <si>
    <t>Paddington</t>
  </si>
  <si>
    <t xml:space="preserve">MW417R002291-AYCA-42HX6R-2BON-61-34-42 Spring St, Bondi Junction, </t>
  </si>
  <si>
    <t>Bondi Junction</t>
  </si>
  <si>
    <t xml:space="preserve">MW417R002312-AYCA-5KPEKH-2NRN-06-Estate-Olive Hill Drvie Cobbitty </t>
  </si>
  <si>
    <t xml:space="preserve">MW417R002301-AYCA-578FAA-2NSY-02-229 MILLER STREET, NORTH SYDNEY </t>
  </si>
  <si>
    <t>MW417R002329-AYCA-5MG99P-2MEN-62-593 Old Illawarra Road, Menai EXT</t>
  </si>
  <si>
    <t>Menai</t>
  </si>
  <si>
    <t>Inv 14763</t>
  </si>
  <si>
    <t xml:space="preserve">MW417R002345 - 2MIR-21 - MELLAR NPDL_MWR (A417) - Miranda </t>
  </si>
  <si>
    <t>Inv 14737</t>
  </si>
  <si>
    <t>MW417R002346 - 2MIR-22 - MELLAR NPDL_MWR (A417)-Miranda</t>
  </si>
  <si>
    <t>MW417R002209-AYCA-5T4J9J-2WAU-21-39 - 41 Production Ave Wauchope NSB</t>
  </si>
  <si>
    <t xml:space="preserve">Wauchope </t>
  </si>
  <si>
    <t>MW417R002406-2SIN-22-AYCA-5ST32Q-42-44 ENTREPRISE CRE, MCDOUGALLS HILL</t>
  </si>
  <si>
    <t>McDougalls Hill</t>
  </si>
  <si>
    <t>Inv 14759</t>
  </si>
  <si>
    <t>MW417R002426 - 2LIV-68 - AYCA-5ST336 - 78-82 RIVERSIDE RD, CHIPPING NORTON Chipping Norton</t>
  </si>
  <si>
    <t>MW417R002367-AYCA-4PPBEB-2RYD-63-8 Sherbrooke Rd, West Ryde</t>
  </si>
  <si>
    <t>MW417R002375-AYCA-5BOGUB-2RED-01-11B Lachlan St Waterloo INT</t>
  </si>
  <si>
    <t>Waterloo</t>
  </si>
  <si>
    <t>MW417R002435-AYCA-5BOGUB-2RED-01-11B Lachlan St, Waterloo EXT</t>
  </si>
  <si>
    <t>MW417R002390-AYCA-5RXMK0-9QBN-08-96 Bayldon Road, Queanbeyan West</t>
  </si>
  <si>
    <t>Queanbeyan West</t>
  </si>
  <si>
    <t xml:space="preserve">MW417R002384 - AYCA-5N4NUW- 2HBD-23 - 36 Wyndora Avenue, Freshwater </t>
  </si>
  <si>
    <t>Harbord</t>
  </si>
  <si>
    <t>MW417R002360 - AYCA-54N6L7 - 2PAR-60 - 104 - 108 Bridge Rd, Westmead</t>
  </si>
  <si>
    <t>MW417R002412 - AYCA-47STWW -  2CYS-11 -130 Elizabeth St, Sydney</t>
  </si>
  <si>
    <t xml:space="preserve">MW417R002383-AYCA-5DHKDD -2CRO-22-36 Rawson Parade, Caringbah South </t>
  </si>
  <si>
    <t xml:space="preserve">Caringbah South </t>
  </si>
  <si>
    <t xml:space="preserve">MW417R002399-AYCA-EV5EP-2DAP-01-Smiths Lane Wongawilli </t>
  </si>
  <si>
    <t>Inv 14762 &amp; 14798</t>
  </si>
  <si>
    <t>MW417R002347-2MIR-29-MELLAR NPDL_MWR (A417)</t>
  </si>
  <si>
    <t xml:space="preserve">MW417R002400-AYCA-41DY76-2ROU-03-38 Hezlett Road Kellyville </t>
  </si>
  <si>
    <t>MW417R002437-AYCA-4LVG38-2MIL-20-9-11 Edgeworth Place, Cartwright</t>
  </si>
  <si>
    <t>Cartwright</t>
  </si>
  <si>
    <t xml:space="preserve">MW417R002436-AYCA-5RHH4X-2PNN-68-68 Beecroft Road, Beecroft </t>
  </si>
  <si>
    <t>Beecroft</t>
  </si>
  <si>
    <t>MW417R002457-AYCA-4YHOA0-2PAR-63-8-12 Robilliard St, Mays Hill</t>
  </si>
  <si>
    <t>MW417R002455-AYCA-3GG3CO-2MIR-31-1-13 Dianella St, Caringbah</t>
  </si>
  <si>
    <t>MW417R002453-62-AYCA-5MGOY8-2MEN-589 Old Illawarra Road, Menai Ext</t>
  </si>
  <si>
    <t>MW417R002451-AYCA-4WGB20-2STL-60-64-66 Chandos St, St Leonards</t>
  </si>
  <si>
    <t>MW417R002449-AYCA-40TCKL-2NSY-02-221 Miller St, North Sydney</t>
  </si>
  <si>
    <t>Nth Sydney</t>
  </si>
  <si>
    <t>MW417R002450-AYCA-5I8I8D-2PNN-63-27-31 Thornleigh Street, Thornleigh</t>
  </si>
  <si>
    <t>Thornleigh</t>
  </si>
  <si>
    <t>MW417R002470-AYCA-5E7TWE-2MEN-60-37-39 Barden Rd, Barden Ridge HFC DFN</t>
  </si>
  <si>
    <t>Menia</t>
  </si>
  <si>
    <t>Inv 14523</t>
  </si>
  <si>
    <t xml:space="preserve">MW417R002504-AYCA-5ALAXU-2ORG-02-104 Lysterfield Rd Orange </t>
  </si>
  <si>
    <t xml:space="preserve">MW417R002546 - AYCA-4ULUDH -2MIR-26 -  5-7 Higherdale Ave., Miranda </t>
  </si>
  <si>
    <t>MW417R002533-AYCA-2PNFXD-2ROS-66 -Corner Old South Road &amp; Hamilton Street HFC DFN</t>
  </si>
  <si>
    <t>Rose Bay</t>
  </si>
  <si>
    <t>Inv 14578</t>
  </si>
  <si>
    <t>MW417R002507 - AYCA-5MG99P - 2MEN-62 - 593 Old Illawarra Road Menai INT</t>
  </si>
  <si>
    <t xml:space="preserve">MW417R002545 -  AYCA-52UVXU - 2HOM-20 -The Christian, Strathfield South </t>
  </si>
  <si>
    <t>Strathfield Sth</t>
  </si>
  <si>
    <t>MW417R002554 - AYCA-5M84RG - 2CFS-02 - 72 Boultwood Street, Coffs Harbour</t>
  </si>
  <si>
    <t>MW417R002550-AYCA-58PGFK-2MSV-03-25 Ascot Rd, Bowral</t>
  </si>
  <si>
    <t xml:space="preserve">MW417R002551 - AYCA-5M7O7M - 9BON-03 - Shugg St, Taylor, ACT </t>
  </si>
  <si>
    <t>Taylor</t>
  </si>
  <si>
    <t>MW417R002544 - AYCA-55AQIZ - 2ASH-63 - 3 Mungo Scott Place, Summer Hill</t>
  </si>
  <si>
    <t>MW417R002570-AYCA-4XIVYZ-HFC DFN-2UND-62-236-238 ILLAWARRA RD, MARRICKVILLE</t>
  </si>
  <si>
    <t>Inv 14621</t>
  </si>
  <si>
    <t>Jan-00</t>
  </si>
  <si>
    <t xml:space="preserve">MW417R002548-AYCA-5JIMDQ-2DBB-02-166 Brisbane Street Dubbo </t>
  </si>
  <si>
    <t>MW417R002582-2ERP-20 - Erskine Park</t>
  </si>
  <si>
    <t>Erskine Paark</t>
  </si>
  <si>
    <t>MW417R002583-2ORC-06 - Orchid Hills</t>
  </si>
  <si>
    <t>Orchid Hills</t>
  </si>
  <si>
    <t>MW417R002524-AYCA-5MGOY8-2MEN-62-589 Old Illawarra Road Menai Int</t>
  </si>
  <si>
    <t>MW417R002540-AYCA-5JIMDQ2DBB-02-166 Brisbane Street, Dubbo Ext</t>
  </si>
  <si>
    <t>MW417R002429 - AYCA-5MQHDT - 2AVA-02 - 32 Ruskin Rowe, Avalon Beach</t>
  </si>
  <si>
    <t>MW417R002552-AYCA-4C0Z5Y - 2ROS-66-554-564 Old South Head Rd, Rose Bay</t>
  </si>
  <si>
    <t xml:space="preserve">MW417R002590-AYCA-5072G6-2LIV-02-123 CASTLEREAGH STREET, LIVERPOOL </t>
  </si>
  <si>
    <t>Inv 14765</t>
  </si>
  <si>
    <t xml:space="preserve">MW417R002527-AYCA-5H49UT-2BTH-20-132 Piper Street, Bathurst </t>
  </si>
  <si>
    <t xml:space="preserve">MW417R002598-AYCA-44HH3F-9BLC-22-31-49 Warrego Circuit, Kaleen, ACT </t>
  </si>
  <si>
    <t>Kaleen</t>
  </si>
  <si>
    <t xml:space="preserve">MW417R002595 -  AYCA-5NXLZB - 2TGL-02 -158 Terrigal Drive, Terrigal </t>
  </si>
  <si>
    <t>MW417R002581 - AYCA-5CQHIP -2PTH-02 - 24 Barber Ave, Penrith</t>
  </si>
  <si>
    <t>Inv 14672</t>
  </si>
  <si>
    <t>MW417R002148 - AYCA-5D2DU0 - 2LCT-01 - Seawide Estate - 4</t>
  </si>
  <si>
    <t>MW417R002606-AYCA-58PGFK-2MSV-03-25 Ascot Rd Bowral</t>
  </si>
  <si>
    <t>MW417R002640 - AYCA-5SX5PK - 2CRO-23 - 51-55 Burraneer Bay Road, Burraneer</t>
  </si>
  <si>
    <t>Burraneer</t>
  </si>
  <si>
    <t>MW417R002626 -  AYCA-4LZWVS - 2PNN-63 -266-268 Pennant Hills Rd, Thornleigh</t>
  </si>
  <si>
    <t>Thronleigh</t>
  </si>
  <si>
    <t>MW417R002564-AYCA-512UVL-2WYO-03-Marineres Centre of Excellence - BUILD</t>
  </si>
  <si>
    <t>MW417R002601-9DKI-05-ACT</t>
  </si>
  <si>
    <t>MW417R002689 -AYCA-5HNMQ4-2CRO-26-2 - 4 Marlo Road Cronulla</t>
  </si>
  <si>
    <t>MW417R002563 - 2NRN-05 - AYCA-5FCHOB - 23 Grahams Hill Road, Narellan</t>
  </si>
  <si>
    <t>Narellan</t>
  </si>
  <si>
    <t>MW417R002600 - 9DKI-04 - Deakin</t>
  </si>
  <si>
    <t>MW417R002602 - 9DKI-21- Deakin</t>
  </si>
  <si>
    <t xml:space="preserve">MW417R002683-AYCA-5UQX4I-2HUH-20-29 Moorefield Avenue, Hunters Hill </t>
  </si>
  <si>
    <t>Hunter Hill</t>
  </si>
  <si>
    <t>Inv 14766</t>
  </si>
  <si>
    <t xml:space="preserve">MW417R002684-AYCA-5SK61D- 2NWR-03-38 Cumberland Avenue, South Nowra </t>
  </si>
  <si>
    <t>MW417R002673 - AYCA-4WQIL0 - 2PTH-05 - 13-15 Vista St, Penrith</t>
  </si>
  <si>
    <t>MW417R002213-9BLC-20-AYCA-5SMBZ7-54 Arndell Street Macquarie ACT NSB</t>
  </si>
  <si>
    <t>Macquarie</t>
  </si>
  <si>
    <t>email go ahead from Vipin on the 2/1/19</t>
  </si>
  <si>
    <t>Inv 14742</t>
  </si>
  <si>
    <t xml:space="preserve">MW417R002652-AYCA-5SK61D-2NWR-03-39 Cumberland Avenue South Nowra </t>
  </si>
  <si>
    <t>Nowra</t>
  </si>
  <si>
    <t>MW417R002584-2ORC-22-Orchard Hills</t>
  </si>
  <si>
    <t>MW417R002740-2HMK-01 Haymarket</t>
  </si>
  <si>
    <t>MW417R002740-2HMK-22 - Haymarket</t>
  </si>
  <si>
    <t>MW417R002740-2HMK-02 - Haymarket</t>
  </si>
  <si>
    <t xml:space="preserve">MW417R002676-AYCA-5I62CV-9BON-03-Block 9 Section 39 Taylor </t>
  </si>
  <si>
    <t xml:space="preserve">MW417R002672-AYCA-54OULE-2MIL-62-HILL ROAD LURNEA </t>
  </si>
  <si>
    <t>Lurnea</t>
  </si>
  <si>
    <t xml:space="preserve">MW417R002667-AYCA-2I98H3-2PAR-61-Hassall View Pty Ltd </t>
  </si>
  <si>
    <t>MW417R002731-AYCA-5M5JQ0-2HUH-21-23A Mars Road, Lane Cove West</t>
  </si>
  <si>
    <t>Lane Cove</t>
  </si>
  <si>
    <t>MW417R002723-AYCA-3O1ZGP-2GBE-62-4-6 Elger St, Glebe</t>
  </si>
  <si>
    <t>MW417R002725-AYCA-57JCRY-2GRA-63-27a, 31, 33 &amp; 35 Louis Street,Granville</t>
  </si>
  <si>
    <t>Granville</t>
  </si>
  <si>
    <t>MW417R002720-AYCA-5LTSYB-9BLC-20-12 Shumack Street, Weetangera ACT  Ext</t>
  </si>
  <si>
    <t xml:space="preserve">MW417R002739 -  AYCA-5U1ZX9 - 2CRO-26 -32 Seaview Street, Cronulla </t>
  </si>
  <si>
    <t>MW417R002744-AYCA-4SBJVB-2BLK-01-9-11 SWINSON ROAD BLACKTOWN</t>
  </si>
  <si>
    <t>MW417R002737-AYCA-5HZXRM-2SHA-64-88 Reid Street, Werrington County HFC DFN</t>
  </si>
  <si>
    <t>Shalvey</t>
  </si>
  <si>
    <t>Inv 14628</t>
  </si>
  <si>
    <t>Inv 14743</t>
  </si>
  <si>
    <t>MW417R002662-AYCA-5KEC98-2NMN-20-41 Third Avenue North, Narromine</t>
  </si>
  <si>
    <t>MW417R002694-AYCA-5FCMYJ-2BAN-60-117 Rookwood Road, Yagoona</t>
  </si>
  <si>
    <t>MW417R002790-AYCA-5QBJSS-2PAR-62-7 Morton Street, Parramatta HFC DFN</t>
  </si>
  <si>
    <t>Inv 14646</t>
  </si>
  <si>
    <t>MW417R002789-AYCA-53VL4I-2PNN-68-116a-118-castle-hill- HFC DFN</t>
  </si>
  <si>
    <t>Inv 14647</t>
  </si>
  <si>
    <t>MW417R002735-AYCA-5TDBKQ-2EDN-20-44 Hopkins Street, EDEN</t>
  </si>
  <si>
    <t>Eden</t>
  </si>
  <si>
    <t>MW417R002745-AYCA-5HY3IQ-2KYO-20-Stratheden Street, Kyogle</t>
  </si>
  <si>
    <t>MW417R002792-AYCA-5JQV6N 2BAN-62-265 Hume Highway, Greenacre HFC DFN-Design NDD</t>
  </si>
  <si>
    <t>Greenacre</t>
  </si>
  <si>
    <t>MW417R002899-AYCA-2WNBI8-2PEN-64-31,33,37B Garfield-HFC DFN</t>
  </si>
  <si>
    <t>Pendale Hill</t>
  </si>
  <si>
    <t>Inv 14684</t>
  </si>
  <si>
    <t>A417 Greenfield MDU Transformation</t>
  </si>
  <si>
    <t>MW417R002878-AYCA-53IJ1X-2PIT-01-21 Hall St Pitt Town Transformation</t>
  </si>
  <si>
    <t>MW417R002898-AYCA-4Y3W7O-2PYM-60-1017 Pacific Hwy, Pymble, HFC DFN</t>
  </si>
  <si>
    <t>Pymble</t>
  </si>
  <si>
    <t>Mark leal</t>
  </si>
  <si>
    <t>Inv 14685</t>
  </si>
  <si>
    <t>MW417R002917-AYCA-4LKVQJ - 2ROC-61-551 Gardeners Road -HFC DFN</t>
  </si>
  <si>
    <t>Inv 14816</t>
  </si>
  <si>
    <t>MW417R002916-AYCA-49ZOSX - 2ROC-60-CIE GROUP HK-HFC DFN</t>
  </si>
  <si>
    <t>Inv 14817</t>
  </si>
  <si>
    <t>MW417R002927-AYCA-44HH3F-31-9BLC-22-49 Warrego Circuit Kaleen ACT</t>
  </si>
  <si>
    <t xml:space="preserve">MW417R002936-AYCA-3L3HR8-9CVI-01-32 Mort St, Braddon, ACT </t>
  </si>
  <si>
    <t>Braddon</t>
  </si>
  <si>
    <t>MW417R002945-AYCA-5ANVTS-2MIR-26-293 Port Hacking Rd, Miranda - 1</t>
  </si>
  <si>
    <t>MW417R002938-AYCA-52ZW78-2STL-60-Atchison Street HFC DFN</t>
  </si>
  <si>
    <t>MW417R002972-AYCA-5WOZHL-2PEN-66--18 Rawson Road, South Wentworthville</t>
  </si>
  <si>
    <t>MW417R002896-AYCA-5NB7OP-2CHL-08-83 Redhead Road, Redhead</t>
  </si>
  <si>
    <t>Redhead</t>
  </si>
  <si>
    <t xml:space="preserve">MW417R000326-AYCA-2T05DV-2RCH-04-752 George St South Windsor </t>
  </si>
  <si>
    <t xml:space="preserve">MW417R002948-AYCA-5XOE8H-2ORG-06-4 ELWIN DR, ORANGE </t>
  </si>
  <si>
    <t>MW417R003005-AYCA-5OO3VM-2WLG-01-2 Victoria Street Wollongong</t>
  </si>
  <si>
    <t>MW417R003051-AYCA-587BWC-2RAM-20-218-222 Railway Parade, Kogarah</t>
  </si>
  <si>
    <t>Kogarah</t>
  </si>
  <si>
    <t>MW417R003053-AYCA-5FWMQ5 -2WRO-63-14-18 Neringah Avenue South, Wahroonga</t>
  </si>
  <si>
    <t>Wahroonga</t>
  </si>
  <si>
    <t>MW417R003054-AYCA-4Z8X0L-2COR-07-34-44 Underwood St, Corrimal</t>
  </si>
  <si>
    <t>Corrimal</t>
  </si>
  <si>
    <t>MW417R003119-AYCA-3G1TZ6-2PYM-62-9-17 Eastern Rd, Turramurra</t>
  </si>
  <si>
    <t>MW417R003106-AYCA-5E4D09-2PEN-01- 2-6 Dolerite Way Pemulwuy Int</t>
  </si>
  <si>
    <t>Pemulwuy</t>
  </si>
  <si>
    <t>MW417R003149-AYCA-5V4B6P-2COR-09-53 Russell Street Balgownie Int</t>
  </si>
  <si>
    <t xml:space="preserve">MW417R001849 - AYCA-562Y8R - 2APN-01 - 900 Wilton Rd, Appin </t>
  </si>
  <si>
    <t>Minor Works Maximo</t>
  </si>
  <si>
    <t>ND-2KRG-03-AYCA-2GRL7A-Tatton 12B-Estate</t>
  </si>
  <si>
    <t>Tatton</t>
  </si>
  <si>
    <t>2NAB-20-AYCA-5KDV96-43,45,47,49 Eastern Valley Way, Tallwood-FTTN</t>
  </si>
  <si>
    <t>Tallwood</t>
  </si>
  <si>
    <t>ND-2BRG-01-AYCA-4Z5838-10 &amp; 20 Seventeenth Ave, Austral - 2</t>
  </si>
  <si>
    <t xml:space="preserve">ND-2DAP-02-AYCA-5XRS1Z-7-9 Princes Highway, Dapto - 1- TTFN </t>
  </si>
  <si>
    <t>Dapto</t>
  </si>
  <si>
    <t>MW417R003296-2PNN-62-AYCA-5V8GGB-70 YARRARA RD, PENNANT HILLS</t>
  </si>
  <si>
    <t>Pennant Hills</t>
  </si>
  <si>
    <t>MW417R003298-2PNN-60-AYCA-5V8GAT-1A DARTFORD RD, THORNLEIGH</t>
  </si>
  <si>
    <t>MW417R003299-2PNN-60-AYCA-5V8GEZ-31-33 SEFTON RD, THORNLEIGH</t>
  </si>
  <si>
    <t>MW417R003254-AYCA-5LTSYB-9BLC-20-12 Shumack Street Weetangera ACT  Int</t>
  </si>
  <si>
    <t>MW417R003339-AYCA-4XC850-2PTH-05-50-54 Rodley Ave, Penrith</t>
  </si>
  <si>
    <t xml:space="preserve">MW417R003220-AYCA-4WLRNG-2ROU-03-51-53 Foxall road,Kellyville </t>
  </si>
  <si>
    <t>MW417R003241-AYCA-52CPTI-2HOR-63--6-8 Cowan Rd, Mount Colah</t>
  </si>
  <si>
    <t>MW417R003248-AYCA-5QX4TH-2EAS-60-164 Cathedral Street, Woolloomooloo</t>
  </si>
  <si>
    <t>Woolloomooloo</t>
  </si>
  <si>
    <t>MW417R003233-AYCA-4ZHXIF-2KIL-62-8 Buckingham-HFC DFN</t>
  </si>
  <si>
    <t>Killara</t>
  </si>
  <si>
    <t>Inv 14786</t>
  </si>
  <si>
    <t>MW417R003246-AYCA-5SPCV6-2BOT-61-51 Chester Avenue Maroubra HFC DFN</t>
  </si>
  <si>
    <t>Inv 14787</t>
  </si>
  <si>
    <t>MW417R003284-AYCA-5T15312-NEW-60-293 Princes Highway, Saint Peters</t>
  </si>
  <si>
    <t>MW417R003224-AYCA-5G1AHP-2RED-01-2-14 Amelia Street, Waterloo Transformation</t>
  </si>
  <si>
    <t>MW417R003247-AYCA-5V4B6P-2COR-09-53 Russell Street, Balgownie Ext</t>
  </si>
  <si>
    <t xml:space="preserve">MW417R003204-AYCA-4Q4RLG-2NRN-01-MacArthur Rd Spring Farm </t>
  </si>
  <si>
    <t>Spring Farm</t>
  </si>
  <si>
    <t>MW417R003294-AYCA-2HEWWI-2CAM-02-337-339 Beamish Street, Campsie</t>
  </si>
  <si>
    <t>MW417R003230-AYCA-5MELWX-2BOT-62-Lot 3,4,5 &amp; 6 Denison Street Banksmeadow HFC DFN</t>
  </si>
  <si>
    <t>Banksmedow</t>
  </si>
  <si>
    <t>Inv 14801</t>
  </si>
  <si>
    <t>MW417R003288 - AYCA-5L1XWG - 2LIV-67 - 365 Hume Highway, Liverpool</t>
  </si>
  <si>
    <t xml:space="preserve">MW417R003328-AYCA-4W57Z3 -2BAN-64-11+17 Cross St Bankstown </t>
  </si>
  <si>
    <t>MW417R003326-AYCA-5JO5XA-2BAN-70-5-9 White Avenue, Bankstown - 1</t>
  </si>
  <si>
    <t>MW417R003287-AYCA-4KZ9TH-2HOR-62-457-459 Pacific Highway, Asquith</t>
  </si>
  <si>
    <t>MW417R003285-AYCA-5NKJJY-2CRO-24-25 Judd Street, Cronulla</t>
  </si>
  <si>
    <t>Cornulla</t>
  </si>
  <si>
    <t>MW417R003263-2SWR-20-South West Rock</t>
  </si>
  <si>
    <t>2KRG-03-AYCA-58NL54</t>
  </si>
  <si>
    <t>Koringal</t>
  </si>
  <si>
    <t>Richard Huffidine</t>
  </si>
  <si>
    <t>MW417R003266-2WRD-20-Warialda</t>
  </si>
  <si>
    <t>Warrialda</t>
  </si>
  <si>
    <t>MW417R003265-2TUH-20-MELLAR</t>
  </si>
  <si>
    <t>Tursso Heads</t>
  </si>
  <si>
    <t>MW417R003264-2TTF-20-MELLAR NPDL-Tenterfield</t>
  </si>
  <si>
    <t>MW417R003262-2MYA-01-MELLAR NPDL-Moruya</t>
  </si>
  <si>
    <t>Morouya</t>
  </si>
  <si>
    <t>MW417R003261-2KRI-01-MELLAR NPDL_MWR (A417)</t>
  </si>
  <si>
    <t>MW417R003260-2DRG-20-MELLAR NPDL-Dorrigo-</t>
  </si>
  <si>
    <t>Dorrigo</t>
  </si>
  <si>
    <t>MW417R003363- AYCA-52924C-2TRT-24-38 French Rd, Wangi Wangi</t>
  </si>
  <si>
    <t>Wangi Wangi</t>
  </si>
  <si>
    <t>MW417R003366-AYCA-4QNRBL-2KEL-03-822 Windsor Road Rouse Hill Transformation</t>
  </si>
  <si>
    <t>MW417R003379-AYCA-4HLUIU-2PYM-62-1454 Pacific Hwy Turramurra HFC DFN</t>
  </si>
  <si>
    <t>Inv 14802</t>
  </si>
  <si>
    <t>MW417R003367-AYCA-4RS6QG-2KNS-03-William Street Alexandria</t>
  </si>
  <si>
    <t>MW417R003365-AYCA-4F75OS-2BLK-12-66-68 Cambridge St, Blacktown Transformation</t>
  </si>
  <si>
    <t>MW417R003243-AYCA-5WHZHM-2SUX-01-Jacobs Dr Sussex-NSB</t>
  </si>
  <si>
    <t>MW417R002747-AYCA-5FJLCJ-2KMS-20-476 Macleay Valley Way, South Kempsey</t>
  </si>
  <si>
    <t>South Kempsey</t>
  </si>
  <si>
    <t>MW417R003355-AYCA-5O866G-9CVI-22-113 Dooring Street, Dickson</t>
  </si>
  <si>
    <t>MW417R003370-AYCA-5LZJ26-2BAN-70-72 Canterbury Road, Bankstown</t>
  </si>
  <si>
    <t>MW417R003418 - AYCA-5EJRTN - 2CAM-02 - 31-31A Perry St, Campsie</t>
  </si>
  <si>
    <t>MW417R003415 - AYCA-5IOF6P - 2BAN-60 - 120 Hume Highway, Chullora Transformation</t>
  </si>
  <si>
    <t xml:space="preserve">MW417R002892-AYCA-45502V-2CTW-20-127 Prince St Clarence Town </t>
  </si>
  <si>
    <t>Clarence Town</t>
  </si>
  <si>
    <t>MW417R003487-AYCA-57OBUB-2RAM-63-399-403 Princes Hwy, Carlton</t>
  </si>
  <si>
    <t>Carlton</t>
  </si>
  <si>
    <t xml:space="preserve">MW417R003422-AYCA-63B4XW-2MIR-27-65A PARTHENIA ST, DOLANS BAY </t>
  </si>
  <si>
    <t>Dolans Bay</t>
  </si>
  <si>
    <t xml:space="preserve">MW417R003508-AYCA-2LID-07-5K1HTP-18 Gibbons Street, Auburn </t>
  </si>
  <si>
    <t>Minor Works Maximo Comm</t>
  </si>
  <si>
    <t>Inv 14789</t>
  </si>
  <si>
    <t xml:space="preserve">MW417R003080-AYCA-5PAIM1-2CHL-073 Jarrod Close, Charlestown </t>
  </si>
  <si>
    <t>Charlestown</t>
  </si>
  <si>
    <t xml:space="preserve">MW417R002994-AYCA-3R9RDG-2GLB-04-193 &amp; 205 Wheeo Road Goulburn </t>
  </si>
  <si>
    <t>ND-2BUP-05-AYCA-5KIM5I-19 Clarence Street, Lake Munmorah-Estate+TTFN</t>
  </si>
  <si>
    <t>Lake Munmorah</t>
  </si>
  <si>
    <t>ND-2GLB-04-AYCA-5T6RSW-Clinton Street, Goulburn - 1</t>
  </si>
  <si>
    <t xml:space="preserve">Goulburn </t>
  </si>
  <si>
    <t xml:space="preserve">ND-2GOS-20-AYCA-5OJCT8-Lot 51,155 Woy Woy Road Kariong NSW-Estate+TTFN </t>
  </si>
  <si>
    <t>Karriong</t>
  </si>
  <si>
    <t>ND-2MSV-02-AYCA-5NR7GA-Non Standard Build - 12 Berrima Road, Mo-Estate+TTFN</t>
  </si>
  <si>
    <t>Moss Val</t>
  </si>
  <si>
    <t xml:space="preserve">ND-2SHH03-AYCA-5V8X5D-TECH CHOICE-1 Arcadia Street Warilla </t>
  </si>
  <si>
    <t>Warilla</t>
  </si>
  <si>
    <t>ND-2YON-02-AYCA-5HUUR7-5 Forsythe Avenue, Young -1-FTTN</t>
  </si>
  <si>
    <t>Young</t>
  </si>
  <si>
    <t>Minor Works Maximo HFC DFN</t>
  </si>
  <si>
    <t>ND-2KNS-62-AYCA-5E2I7I-4-6 Grosvenor St, Kensington - 1-HFC-DFN</t>
  </si>
  <si>
    <t>Kensington</t>
  </si>
  <si>
    <t>Minor Works Maximo Transformation</t>
  </si>
  <si>
    <t>ND-2ASH-62-AYCA-5ZUB5A-Cardinal Freeman Village-3B-TTFN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</si>
</sst>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  <font>
      <b/>
      <i/>
      <sz val="1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rgb="FFC00000"/>
      <name val="Arial Narrow"/>
      <family val="2"/>
    </font>
    <font>
      <b/>
      <sz val="11"/>
      <color rgb="FFFF0000"/>
      <name val="Arial Narrow"/>
      <family val="2"/>
    </font>
    <font>
      <sz val="11"/>
      <color rgb="FFFF0000"/>
      <name val="Arial Narrow"/>
      <family val="2"/>
    </font>
    <font>
      <b/>
      <sz val="11"/>
      <color rgb="FF00B050"/>
      <name val="Arial Narrow"/>
      <family val="2"/>
    </font>
    <font>
      <sz val="11"/>
      <color rgb="FF00B050"/>
      <name val="Arial Narrow"/>
      <family val="2"/>
    </font>
    <font>
      <b/>
      <sz val="11"/>
      <color rgb="FF7030A0"/>
      <name val="Arial Narrow"/>
      <family val="2"/>
    </font>
    <font>
      <b/>
      <i/>
      <sz val="11"/>
      <color rgb="FFFF0000"/>
      <name val="Arial Narrow"/>
      <family val="2"/>
    </font>
    <font>
      <b/>
      <sz val="11"/>
      <color rgb="FF00B0F0"/>
      <name val="Arial Narrow"/>
      <family val="2"/>
    </font>
    <font>
      <b/>
      <sz val="11"/>
      <color theme="8"/>
      <name val="Arial Narrow"/>
      <family val="2"/>
    </font>
    <font>
      <b/>
      <sz val="11"/>
      <color rgb="FFFFC000"/>
      <name val="Arial Narrow"/>
      <family val="2"/>
    </font>
    <font>
      <b/>
      <sz val="11"/>
      <color theme="5" tint="-0.249977111117893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3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4" fillId="4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44" fontId="5" fillId="0" borderId="0" xfId="1" applyFont="1" applyAlignment="1">
      <alignment vertical="center"/>
    </xf>
    <xf numFmtId="0" fontId="5" fillId="0" borderId="1" xfId="0" applyFont="1" applyFill="1" applyBorder="1" applyAlignment="1">
      <alignment horizontal="center"/>
    </xf>
    <xf numFmtId="14" fontId="5" fillId="0" borderId="1" xfId="0" applyNumberFormat="1" applyFont="1" applyFill="1" applyBorder="1"/>
    <xf numFmtId="14" fontId="5" fillId="0" borderId="1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14" fontId="2" fillId="2" borderId="1" xfId="0" applyNumberFormat="1" applyFont="1" applyFill="1" applyBorder="1" applyAlignment="1">
      <alignment horizontal="right"/>
    </xf>
    <xf numFmtId="14" fontId="6" fillId="2" borderId="1" xfId="0" applyNumberFormat="1" applyFont="1" applyFill="1" applyBorder="1"/>
    <xf numFmtId="14" fontId="6" fillId="5" borderId="1" xfId="0" applyNumberFormat="1" applyFont="1" applyFill="1" applyBorder="1"/>
    <xf numFmtId="0" fontId="5" fillId="0" borderId="1" xfId="0" applyFont="1" applyFill="1" applyBorder="1"/>
    <xf numFmtId="0" fontId="3" fillId="0" borderId="1" xfId="0" applyFont="1" applyFill="1" applyBorder="1"/>
    <xf numFmtId="164" fontId="5" fillId="0" borderId="1" xfId="0" applyNumberFormat="1" applyFont="1" applyFill="1" applyBorder="1"/>
    <xf numFmtId="44" fontId="4" fillId="4" borderId="1" xfId="0" applyNumberFormat="1" applyFont="1" applyFill="1" applyBorder="1"/>
    <xf numFmtId="164" fontId="5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9" fontId="5" fillId="0" borderId="1" xfId="2" applyFont="1" applyBorder="1" applyAlignment="1">
      <alignment horizontal="center"/>
    </xf>
    <xf numFmtId="0" fontId="5" fillId="0" borderId="2" xfId="0" applyFont="1" applyBorder="1"/>
    <xf numFmtId="1" fontId="5" fillId="0" borderId="1" xfId="0" applyNumberFormat="1" applyFont="1" applyFill="1" applyBorder="1" applyAlignment="1">
      <alignment horizontal="center"/>
    </xf>
    <xf numFmtId="0" fontId="5" fillId="0" borderId="0" xfId="0" applyFont="1" applyFill="1"/>
    <xf numFmtId="44" fontId="5" fillId="0" borderId="0" xfId="1" applyFont="1" applyFill="1"/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/>
    <xf numFmtId="14" fontId="2" fillId="0" borderId="1" xfId="0" applyNumberFormat="1" applyFont="1" applyFill="1" applyBorder="1"/>
    <xf numFmtId="14" fontId="2" fillId="0" borderId="1" xfId="0" applyNumberFormat="1" applyFont="1" applyFill="1" applyBorder="1" applyAlignment="1">
      <alignment horizontal="right"/>
    </xf>
    <xf numFmtId="164" fontId="3" fillId="0" borderId="3" xfId="0" applyNumberFormat="1" applyFont="1" applyFill="1" applyBorder="1"/>
    <xf numFmtId="164" fontId="3" fillId="0" borderId="1" xfId="0" applyNumberFormat="1" applyFont="1" applyFill="1" applyBorder="1"/>
    <xf numFmtId="164" fontId="3" fillId="0" borderId="3" xfId="0" applyNumberFormat="1" applyFont="1" applyFill="1" applyBorder="1" applyAlignment="1">
      <alignment horizontal="center"/>
    </xf>
    <xf numFmtId="9" fontId="3" fillId="0" borderId="1" xfId="2" applyFont="1" applyFill="1" applyBorder="1" applyAlignment="1">
      <alignment horizontal="center"/>
    </xf>
    <xf numFmtId="0" fontId="3" fillId="0" borderId="2" xfId="0" applyFont="1" applyFill="1" applyBorder="1"/>
    <xf numFmtId="1" fontId="3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44" fontId="3" fillId="0" borderId="0" xfId="1" applyFont="1" applyFill="1"/>
    <xf numFmtId="0" fontId="0" fillId="0" borderId="0" xfId="0" applyAlignment="1">
      <alignment horizontal="left"/>
    </xf>
    <xf numFmtId="164" fontId="0" fillId="0" borderId="0" xfId="0" applyNumberFormat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14" fontId="6" fillId="5" borderId="4" xfId="0" applyNumberFormat="1" applyFont="1" applyFill="1" applyBorder="1"/>
    <xf numFmtId="164" fontId="5" fillId="0" borderId="3" xfId="0" applyNumberFormat="1" applyFont="1" applyFill="1" applyBorder="1"/>
    <xf numFmtId="164" fontId="3" fillId="0" borderId="1" xfId="0" applyNumberFormat="1" applyFont="1" applyBorder="1" applyAlignment="1">
      <alignment horizontal="center"/>
    </xf>
    <xf numFmtId="9" fontId="3" fillId="0" borderId="1" xfId="2" applyFont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4" fontId="6" fillId="5" borderId="1" xfId="0" applyNumberFormat="1" applyFont="1" applyFill="1" applyBorder="1" applyAlignment="1">
      <alignment horizontal="right"/>
    </xf>
    <xf numFmtId="0" fontId="7" fillId="0" borderId="1" xfId="0" applyFont="1" applyFill="1" applyBorder="1"/>
    <xf numFmtId="14" fontId="6" fillId="0" borderId="1" xfId="0" applyNumberFormat="1" applyFont="1" applyFill="1" applyBorder="1"/>
    <xf numFmtId="14" fontId="6" fillId="0" borderId="1" xfId="0" applyNumberFormat="1" applyFont="1" applyFill="1" applyBorder="1" applyAlignment="1">
      <alignment horizontal="right"/>
    </xf>
    <xf numFmtId="0" fontId="5" fillId="0" borderId="1" xfId="0" applyFont="1" applyBorder="1"/>
    <xf numFmtId="14" fontId="6" fillId="2" borderId="1" xfId="0" applyNumberFormat="1" applyFont="1" applyFill="1" applyBorder="1" applyAlignment="1">
      <alignment horizontal="right"/>
    </xf>
    <xf numFmtId="14" fontId="5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64" fontId="3" fillId="5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9" fontId="5" fillId="5" borderId="1" xfId="2" applyFont="1" applyFill="1" applyBorder="1" applyAlignment="1">
      <alignment horizontal="center"/>
    </xf>
    <xf numFmtId="164" fontId="5" fillId="5" borderId="1" xfId="0" applyNumberFormat="1" applyFont="1" applyFill="1" applyBorder="1"/>
    <xf numFmtId="0" fontId="3" fillId="0" borderId="2" xfId="0" applyFont="1" applyBorder="1"/>
    <xf numFmtId="14" fontId="2" fillId="5" borderId="1" xfId="0" applyNumberFormat="1" applyFont="1" applyFill="1" applyBorder="1"/>
    <xf numFmtId="0" fontId="3" fillId="0" borderId="5" xfId="0" applyFont="1" applyFill="1" applyBorder="1" applyAlignment="1">
      <alignment horizontal="center"/>
    </xf>
    <xf numFmtId="44" fontId="4" fillId="4" borderId="3" xfId="0" applyNumberFormat="1" applyFont="1" applyFill="1" applyBorder="1"/>
    <xf numFmtId="164" fontId="5" fillId="0" borderId="3" xfId="0" applyNumberFormat="1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14" fontId="6" fillId="6" borderId="1" xfId="0" applyNumberFormat="1" applyFont="1" applyFill="1" applyBorder="1"/>
    <xf numFmtId="14" fontId="6" fillId="6" borderId="1" xfId="0" applyNumberFormat="1" applyFont="1" applyFill="1" applyBorder="1" applyAlignment="1">
      <alignment horizontal="right"/>
    </xf>
    <xf numFmtId="164" fontId="5" fillId="7" borderId="3" xfId="0" applyNumberFormat="1" applyFont="1" applyFill="1" applyBorder="1"/>
    <xf numFmtId="14" fontId="5" fillId="6" borderId="1" xfId="0" applyNumberFormat="1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1" fontId="5" fillId="6" borderId="1" xfId="0" applyNumberFormat="1" applyFont="1" applyFill="1" applyBorder="1" applyAlignment="1">
      <alignment horizontal="center"/>
    </xf>
    <xf numFmtId="164" fontId="5" fillId="6" borderId="3" xfId="0" applyNumberFormat="1" applyFont="1" applyFill="1" applyBorder="1"/>
    <xf numFmtId="0" fontId="5" fillId="0" borderId="2" xfId="0" applyFont="1" applyFill="1" applyBorder="1"/>
    <xf numFmtId="14" fontId="8" fillId="6" borderId="1" xfId="0" applyNumberFormat="1" applyFont="1" applyFill="1" applyBorder="1"/>
    <xf numFmtId="14" fontId="8" fillId="6" borderId="1" xfId="0" applyNumberFormat="1" applyFont="1" applyFill="1" applyBorder="1" applyAlignment="1">
      <alignment horizontal="right"/>
    </xf>
    <xf numFmtId="14" fontId="6" fillId="8" borderId="1" xfId="0" applyNumberFormat="1" applyFont="1" applyFill="1" applyBorder="1"/>
    <xf numFmtId="164" fontId="9" fillId="0" borderId="1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9" fontId="9" fillId="0" borderId="1" xfId="2" applyFont="1" applyFill="1" applyBorder="1" applyAlignment="1">
      <alignment horizontal="center"/>
    </xf>
    <xf numFmtId="14" fontId="6" fillId="8" borderId="4" xfId="0" applyNumberFormat="1" applyFont="1" applyFill="1" applyBorder="1"/>
    <xf numFmtId="164" fontId="9" fillId="6" borderId="3" xfId="0" applyNumberFormat="1" applyFont="1" applyFill="1" applyBorder="1"/>
    <xf numFmtId="14" fontId="6" fillId="2" borderId="4" xfId="0" applyNumberFormat="1" applyFont="1" applyFill="1" applyBorder="1"/>
    <xf numFmtId="164" fontId="5" fillId="7" borderId="3" xfId="0" applyNumberFormat="1" applyFont="1" applyFill="1" applyBorder="1" applyAlignment="1">
      <alignment horizontal="center"/>
    </xf>
    <xf numFmtId="14" fontId="6" fillId="8" borderId="1" xfId="0" applyNumberFormat="1" applyFont="1" applyFill="1" applyBorder="1" applyAlignment="1">
      <alignment horizontal="right"/>
    </xf>
    <xf numFmtId="14" fontId="5" fillId="5" borderId="1" xfId="0" applyNumberFormat="1" applyFont="1" applyFill="1" applyBorder="1" applyAlignment="1">
      <alignment horizontal="center"/>
    </xf>
    <xf numFmtId="14" fontId="2" fillId="8" borderId="1" xfId="0" applyNumberFormat="1" applyFont="1" applyFill="1" applyBorder="1"/>
    <xf numFmtId="14" fontId="2" fillId="8" borderId="1" xfId="0" applyNumberFormat="1" applyFont="1" applyFill="1" applyBorder="1" applyAlignment="1">
      <alignment horizontal="right"/>
    </xf>
    <xf numFmtId="164" fontId="9" fillId="0" borderId="3" xfId="0" applyNumberFormat="1" applyFont="1" applyFill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14" fontId="9" fillId="0" borderId="1" xfId="0" applyNumberFormat="1" applyFont="1" applyFill="1" applyBorder="1"/>
    <xf numFmtId="164" fontId="5" fillId="8" borderId="3" xfId="0" applyNumberFormat="1" applyFont="1" applyFill="1" applyBorder="1" applyAlignment="1">
      <alignment horizontal="center"/>
    </xf>
    <xf numFmtId="164" fontId="3" fillId="8" borderId="3" xfId="0" applyNumberFormat="1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center"/>
    </xf>
    <xf numFmtId="164" fontId="9" fillId="0" borderId="3" xfId="0" applyNumberFormat="1" applyFont="1" applyFill="1" applyBorder="1"/>
    <xf numFmtId="0" fontId="5" fillId="0" borderId="0" xfId="0" applyFont="1" applyBorder="1"/>
    <xf numFmtId="0" fontId="10" fillId="0" borderId="1" xfId="0" applyFont="1" applyFill="1" applyBorder="1"/>
    <xf numFmtId="164" fontId="10" fillId="0" borderId="1" xfId="0" applyNumberFormat="1" applyFont="1" applyFill="1" applyBorder="1"/>
    <xf numFmtId="164" fontId="10" fillId="0" borderId="3" xfId="0" applyNumberFormat="1" applyFont="1" applyFill="1" applyBorder="1"/>
    <xf numFmtId="164" fontId="5" fillId="6" borderId="3" xfId="0" applyNumberFormat="1" applyFont="1" applyFill="1" applyBorder="1" applyAlignment="1">
      <alignment horizontal="center"/>
    </xf>
    <xf numFmtId="0" fontId="11" fillId="0" borderId="0" xfId="0" applyFont="1" applyFill="1"/>
    <xf numFmtId="14" fontId="11" fillId="6" borderId="1" xfId="0" applyNumberFormat="1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1" fontId="11" fillId="6" borderId="1" xfId="0" applyNumberFormat="1" applyFont="1" applyFill="1" applyBorder="1" applyAlignment="1">
      <alignment horizontal="center"/>
    </xf>
    <xf numFmtId="44" fontId="11" fillId="0" borderId="0" xfId="1" applyFont="1" applyFill="1"/>
    <xf numFmtId="164" fontId="5" fillId="9" borderId="3" xfId="0" applyNumberFormat="1" applyFont="1" applyFill="1" applyBorder="1" applyAlignment="1">
      <alignment horizontal="center"/>
    </xf>
    <xf numFmtId="14" fontId="5" fillId="10" borderId="1" xfId="0" applyNumberFormat="1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right"/>
    </xf>
    <xf numFmtId="164" fontId="3" fillId="0" borderId="3" xfId="0" applyNumberFormat="1" applyFont="1" applyFill="1" applyBorder="1" applyAlignment="1">
      <alignment wrapText="1"/>
    </xf>
    <xf numFmtId="14" fontId="3" fillId="10" borderId="1" xfId="0" applyNumberFormat="1" applyFont="1" applyFill="1" applyBorder="1" applyAlignment="1">
      <alignment horizontal="center"/>
    </xf>
    <xf numFmtId="14" fontId="5" fillId="0" borderId="0" xfId="0" applyNumberFormat="1" applyFont="1" applyFill="1" applyBorder="1"/>
    <xf numFmtId="14" fontId="2" fillId="5" borderId="4" xfId="0" applyNumberFormat="1" applyFont="1" applyFill="1" applyBorder="1"/>
    <xf numFmtId="0" fontId="12" fillId="0" borderId="1" xfId="0" applyFont="1" applyFill="1" applyBorder="1"/>
    <xf numFmtId="164" fontId="12" fillId="0" borderId="1" xfId="0" applyNumberFormat="1" applyFont="1" applyFill="1" applyBorder="1"/>
    <xf numFmtId="164" fontId="12" fillId="0" borderId="3" xfId="0" applyNumberFormat="1" applyFont="1" applyFill="1" applyBorder="1"/>
    <xf numFmtId="14" fontId="2" fillId="6" borderId="1" xfId="0" applyNumberFormat="1" applyFont="1" applyFill="1" applyBorder="1"/>
    <xf numFmtId="14" fontId="2" fillId="6" borderId="1" xfId="0" applyNumberFormat="1" applyFont="1" applyFill="1" applyBorder="1" applyAlignment="1">
      <alignment horizontal="right"/>
    </xf>
    <xf numFmtId="0" fontId="9" fillId="0" borderId="1" xfId="0" applyFont="1" applyFill="1" applyBorder="1" applyAlignment="1">
      <alignment horizontal="center"/>
    </xf>
    <xf numFmtId="14" fontId="9" fillId="6" borderId="1" xfId="0" applyNumberFormat="1" applyFont="1" applyFill="1" applyBorder="1"/>
    <xf numFmtId="14" fontId="9" fillId="0" borderId="1" xfId="0" applyNumberFormat="1" applyFont="1" applyFill="1" applyBorder="1" applyAlignment="1">
      <alignment horizontal="center"/>
    </xf>
    <xf numFmtId="0" fontId="9" fillId="0" borderId="1" xfId="0" applyFont="1" applyFill="1" applyBorder="1"/>
    <xf numFmtId="164" fontId="9" fillId="0" borderId="1" xfId="0" applyNumberFormat="1" applyFont="1" applyFill="1" applyBorder="1"/>
    <xf numFmtId="44" fontId="13" fillId="4" borderId="3" xfId="0" applyNumberFormat="1" applyFont="1" applyFill="1" applyBorder="1"/>
    <xf numFmtId="0" fontId="9" fillId="0" borderId="2" xfId="0" applyFont="1" applyBorder="1"/>
    <xf numFmtId="1" fontId="9" fillId="0" borderId="1" xfId="0" applyNumberFormat="1" applyFont="1" applyFill="1" applyBorder="1" applyAlignment="1">
      <alignment horizontal="center"/>
    </xf>
    <xf numFmtId="14" fontId="5" fillId="6" borderId="1" xfId="0" applyNumberFormat="1" applyFont="1" applyFill="1" applyBorder="1"/>
    <xf numFmtId="0" fontId="5" fillId="5" borderId="1" xfId="0" applyFont="1" applyFill="1" applyBorder="1"/>
    <xf numFmtId="164" fontId="5" fillId="5" borderId="3" xfId="0" applyNumberFormat="1" applyFont="1" applyFill="1" applyBorder="1"/>
    <xf numFmtId="164" fontId="5" fillId="5" borderId="3" xfId="0" applyNumberFormat="1" applyFont="1" applyFill="1" applyBorder="1" applyAlignment="1">
      <alignment horizontal="center"/>
    </xf>
    <xf numFmtId="0" fontId="14" fillId="0" borderId="1" xfId="0" applyFont="1" applyFill="1" applyBorder="1"/>
    <xf numFmtId="164" fontId="14" fillId="0" borderId="1" xfId="0" applyNumberFormat="1" applyFont="1" applyFill="1" applyBorder="1"/>
    <xf numFmtId="14" fontId="5" fillId="8" borderId="1" xfId="0" applyNumberFormat="1" applyFont="1" applyFill="1" applyBorder="1"/>
    <xf numFmtId="164" fontId="3" fillId="6" borderId="3" xfId="0" applyNumberFormat="1" applyFont="1" applyFill="1" applyBorder="1" applyAlignment="1">
      <alignment horizontal="center"/>
    </xf>
    <xf numFmtId="0" fontId="15" fillId="0" borderId="1" xfId="0" applyFont="1" applyFill="1" applyBorder="1"/>
    <xf numFmtId="164" fontId="15" fillId="0" borderId="1" xfId="0" applyNumberFormat="1" applyFont="1" applyFill="1" applyBorder="1"/>
    <xf numFmtId="14" fontId="5" fillId="11" borderId="1" xfId="0" applyNumberFormat="1" applyFont="1" applyFill="1" applyBorder="1" applyAlignment="1">
      <alignment horizontal="center"/>
    </xf>
    <xf numFmtId="0" fontId="5" fillId="11" borderId="5" xfId="0" applyFont="1" applyFill="1" applyBorder="1" applyAlignment="1">
      <alignment horizontal="center"/>
    </xf>
    <xf numFmtId="1" fontId="5" fillId="11" borderId="1" xfId="0" applyNumberFormat="1" applyFont="1" applyFill="1" applyBorder="1" applyAlignment="1">
      <alignment horizontal="center"/>
    </xf>
    <xf numFmtId="164" fontId="9" fillId="9" borderId="3" xfId="0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9" fontId="9" fillId="8" borderId="1" xfId="2" applyFont="1" applyFill="1" applyBorder="1" applyAlignment="1">
      <alignment horizontal="center"/>
    </xf>
    <xf numFmtId="164" fontId="5" fillId="6" borderId="1" xfId="0" applyNumberFormat="1" applyFont="1" applyFill="1" applyBorder="1"/>
    <xf numFmtId="0" fontId="16" fillId="0" borderId="1" xfId="0" applyFont="1" applyFill="1" applyBorder="1"/>
    <xf numFmtId="164" fontId="16" fillId="0" borderId="1" xfId="0" applyNumberFormat="1" applyFont="1" applyFill="1" applyBorder="1"/>
    <xf numFmtId="164" fontId="5" fillId="9" borderId="3" xfId="0" applyNumberFormat="1" applyFont="1" applyFill="1" applyBorder="1"/>
    <xf numFmtId="44" fontId="4" fillId="0" borderId="3" xfId="0" applyNumberFormat="1" applyFont="1" applyFill="1" applyBorder="1"/>
    <xf numFmtId="0" fontId="3" fillId="5" borderId="5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5" fillId="5" borderId="2" xfId="0" applyFont="1" applyFill="1" applyBorder="1"/>
    <xf numFmtId="14" fontId="6" fillId="9" borderId="1" xfId="0" applyNumberFormat="1" applyFont="1" applyFill="1" applyBorder="1"/>
    <xf numFmtId="0" fontId="17" fillId="0" borderId="1" xfId="0" applyFont="1" applyFill="1" applyBorder="1" applyAlignment="1">
      <alignment horizontal="center"/>
    </xf>
    <xf numFmtId="0" fontId="17" fillId="0" borderId="1" xfId="0" applyFont="1" applyFill="1" applyBorder="1"/>
    <xf numFmtId="0" fontId="5" fillId="9" borderId="2" xfId="0" applyFont="1" applyFill="1" applyBorder="1"/>
    <xf numFmtId="14" fontId="5" fillId="9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" fontId="5" fillId="9" borderId="1" xfId="0" applyNumberFormat="1" applyFont="1" applyFill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9" fontId="3" fillId="0" borderId="3" xfId="2" applyFont="1" applyFill="1" applyBorder="1" applyAlignment="1">
      <alignment horizontal="center"/>
    </xf>
    <xf numFmtId="8" fontId="5" fillId="0" borderId="1" xfId="0" applyNumberFormat="1" applyFont="1" applyFill="1" applyBorder="1" applyAlignment="1">
      <alignment horizontal="center"/>
    </xf>
    <xf numFmtId="8" fontId="6" fillId="0" borderId="1" xfId="0" applyNumberFormat="1" applyFont="1" applyFill="1" applyBorder="1"/>
    <xf numFmtId="8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/>
    <xf numFmtId="164" fontId="6" fillId="9" borderId="6" xfId="0" applyNumberFormat="1" applyFont="1" applyFill="1" applyBorder="1"/>
    <xf numFmtId="9" fontId="6" fillId="9" borderId="6" xfId="2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9" fontId="5" fillId="0" borderId="0" xfId="2" applyFont="1" applyFill="1" applyAlignment="1">
      <alignment horizontal="center"/>
    </xf>
    <xf numFmtId="9" fontId="6" fillId="0" borderId="0" xfId="2" applyFont="1" applyFill="1"/>
    <xf numFmtId="9" fontId="6" fillId="0" borderId="0" xfId="2" applyFont="1" applyFill="1" applyAlignment="1">
      <alignment horizontal="right"/>
    </xf>
    <xf numFmtId="164" fontId="6" fillId="0" borderId="0" xfId="0" applyNumberFormat="1" applyFont="1" applyFill="1"/>
    <xf numFmtId="0" fontId="6" fillId="0" borderId="0" xfId="0" applyFont="1" applyFill="1"/>
    <xf numFmtId="164" fontId="5" fillId="0" borderId="0" xfId="0" applyNumberFormat="1" applyFont="1" applyFill="1"/>
    <xf numFmtId="0" fontId="0" fillId="0" borderId="0" xfId="0" applyFill="1"/>
    <xf numFmtId="0" fontId="6" fillId="0" borderId="0" xfId="0" applyFont="1" applyFill="1" applyAlignment="1">
      <alignment horizontal="center"/>
    </xf>
    <xf numFmtId="44" fontId="5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 indent="1"/>
    </xf>
    <xf numFmtId="164" fontId="0" fillId="0" borderId="0" xfId="0" applyNumberFormat="1" applyFill="1"/>
    <xf numFmtId="0" fontId="0" fillId="0" borderId="0" xfId="0" applyFill="1" applyAlignment="1">
      <alignment horizontal="left"/>
    </xf>
    <xf numFmtId="0" fontId="6" fillId="0" borderId="0" xfId="0" applyFont="1" applyFill="1" applyAlignment="1">
      <alignment horizontal="right"/>
    </xf>
    <xf numFmtId="44" fontId="5" fillId="0" borderId="0" xfId="1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44" fontId="5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npho8/Documents%20and%20Settings/pstockwell/Local%20Settings/Temporary%20Internet%20Files/OLK117/Documents%20and%20Settings/lscott/Local%20Settings/Temporary%20Internet%20Files/OLK78/bondsreg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sjashcroft\Desktop\Copy%20of%20130518%20National%20DJC%20Forecast%20(In%20preparation%20for%20May%20Actuals)(1600h)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VicAdmin\Management\Trading%20Summaries%202013\Feb%2013%20Results%20Water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SVR2\Folder%20Redirection\Working%20files\WDA%20TOC%20Summary%20FINAL%20working%20file%2008011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S\NBN\7.0%20Finance%20&amp;%20Commercial\7.6%20Cost%20Control%20%20Forecasting\Live%20Forecast\1306%20June\National%20DJC%20Forecast%20130726%201200h%20-%20FINAL%20JUNE%202013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A&amp;AS\06.0%20Finance\06.01%20Accruals\NBN\Asbuilt\FSAM01\ARMIDALE%20-%20(Silcar)%20-%20FDAs%20NBN%20Recon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mphilipp\AppData\Local\Microsoft\Windows\Temporary%20Internet%20Files\Content.Outlook\EJWEOHPY\FSAM%20Program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S\NBN\7.0%20Finance%20&amp;%20Commercial\7.20%20Accounting\Forecasting\2012\1204\Overheads\SC%20NBN%20OH%20Forecasting%20Tool%20-%20National%20+%20Regional%2015-05-201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sjashcroft\AppData\Local\Microsoft\Windows\Temporary%20Internet%20Files\Content.Outlook\TL0IIKXA\NBN%20Project%20NSMA%20-%20Schedule%202%20Pricing%20Silcar%202011052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S\NBN\7.0%20Finance%20&amp;%20Commercial\7.20%20Accounting\Cashflow%20modelling\NBN%20Fibre%20Network%20Project%20FSAM%20Cash%20Flow%20model%20-reduced%20FSAM%20volumes%20to%20June%202013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S\NBN\7.0%20Finance%20&amp;%20Commercial\7.6%20Cost%20Control%20%20Forecasting\Live%20Forecast\1307%20July\National%20DJC%20Forecast%20130806%201400h%20(parallel%20forecast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towen2\techserv\Statistics\Daily%20Reports\Data%20Sheet\Data%20-%20Mt%20Owen%20Complex%20V02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nstruction\Construction%20Commercial\Construction%20Commercial%20-%20WA\Project%20Cost%20Analyst\Armidale%20(Silcar)\backup\ARMIDALE%20-%20(Silcar)%20-%20FDAs%20&amp;%20FSAs%20(sent%20to%20DL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TOWEN2\tech\TechServ\Statistics\Daily%20Reports\Data%20Sheet\Data%20-%20Mt%20Owen%20Complex%20V02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ason\Usefull%20stuff\0597_LY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mienmarov/Documents/!%20Financials/Datateks%20Sydney%20Financials%202018-19%20%202019031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acumming\AppData\Local\Microsoft\Windows\Temporary%20Internet%20Files\Content.Outlook\6PN563ET\DTSJV%20-%20CV%20Jan%202013%20(12%20Months)%20(2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npho8/Documents%20and%20Settings/lscott/Local%20Settings/Temporary%20Internet%20Files/OLK78/bondsre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sjashcroft\AppData\Local\Microsoft\Windows\Temporary%20Internet%20Files\Content.Outlook\8AIO4RUZ\130417%20National%20DJC%20Forecast%20(March%20Actuals)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dlwong\AppData\Local\Microsoft\Windows\Temporary%20Internet%20Files\Content.Outlook\QB4EQ9M0\4XXX-XX%20BOQ_BOM%20GATEX%20DDMMYYYY%20Template%20V1.4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arantee Sched"/>
      <sheetName val="bondsreg"/>
      <sheetName val="EquipmentMovement"/>
      <sheetName val="Forecast calc OHs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 Export"/>
      <sheetName val="Risk"/>
      <sheetName val="VarianceExport"/>
      <sheetName val="Export File"/>
      <sheetName val="Instructions"/>
      <sheetName val="Design EV"/>
      <sheetName val="Construction EV"/>
      <sheetName val="Budget &amp; Actuals Import"/>
      <sheetName val="Import Last Months Export File"/>
      <sheetName val="Refresh Last Month Pivot"/>
      <sheetName val="Import FSAM Diary Quants"/>
      <sheetName val="Variance &amp; Risk Codes"/>
      <sheetName val="Project Info"/>
      <sheetName val="CV Pivot"/>
      <sheetName val="Bgt and Act Pivot"/>
      <sheetName val="Risk Pivot"/>
      <sheetName val="Variance Report"/>
      <sheetName val="FSAM Summary"/>
      <sheetName val="Overclaim Calc"/>
      <sheetName val="FSAM Summary D&amp;C"/>
      <sheetName val="Design List"/>
      <sheetName val="Materials List"/>
      <sheetName val="Construction List"/>
      <sheetName val="Revenue Summary"/>
      <sheetName val="Change Report"/>
      <sheetName val="FSAM Summary Design"/>
      <sheetName val="BLC1"/>
      <sheetName val="BLC2"/>
      <sheetName val="TRK1"/>
      <sheetName val="LIV2"/>
      <sheetName val="LIV3"/>
      <sheetName val="GRN2"/>
      <sheetName val="SGI1"/>
      <sheetName val="SGI3"/>
      <sheetName val="SGI6"/>
      <sheetName val="KIA2"/>
      <sheetName val="KIA3"/>
      <sheetName val="CRC1"/>
      <sheetName val="CRC2"/>
      <sheetName val="CRC3"/>
      <sheetName val="CRC4"/>
      <sheetName val="CRC5"/>
      <sheetName val="CRC6"/>
      <sheetName val="ARM4"/>
      <sheetName val="ARM5"/>
      <sheetName val="ARM6"/>
      <sheetName val="CFS1"/>
      <sheetName val="CFS2"/>
      <sheetName val="CFS3"/>
      <sheetName val="CFS4"/>
      <sheetName val="CFS5"/>
      <sheetName val="CFS6"/>
      <sheetName val="CFS7"/>
      <sheetName val="SAW1"/>
      <sheetName val="SAW2"/>
      <sheetName val="SAW3"/>
      <sheetName val="SAW4"/>
      <sheetName val="APL1"/>
      <sheetName val="APL2"/>
      <sheetName val="APL3"/>
      <sheetName val="APL4"/>
      <sheetName val="APL5"/>
      <sheetName val="APL6"/>
      <sheetName val="APL7"/>
      <sheetName val="GDN1"/>
      <sheetName val="GDN2"/>
      <sheetName val="GDN3"/>
      <sheetName val="GDN4"/>
      <sheetName val="GDN5"/>
      <sheetName val="GDN6"/>
      <sheetName val="GDN7"/>
      <sheetName val="GDN8"/>
      <sheetName val="TOB1"/>
      <sheetName val="TOB2"/>
      <sheetName val="TOB3"/>
      <sheetName val="TOB4"/>
      <sheetName val="TOB5"/>
      <sheetName val="TOB6"/>
      <sheetName val="TOB7"/>
      <sheetName val="TOB8"/>
      <sheetName val="TOB9"/>
      <sheetName val="BLK1"/>
      <sheetName val="BLK2"/>
      <sheetName val="BLK3"/>
      <sheetName val="BLK4"/>
      <sheetName val="BLK5"/>
      <sheetName val="BLK6"/>
      <sheetName val="BLK7"/>
      <sheetName val="BLK9"/>
      <sheetName val="BLK10"/>
      <sheetName val="GOS1"/>
      <sheetName val="GOS2"/>
      <sheetName val="GOS3"/>
      <sheetName val="GOS4"/>
      <sheetName val="GOS5"/>
      <sheetName val="GOS6"/>
      <sheetName val="GOS7"/>
      <sheetName val="GOS8"/>
      <sheetName val="GUL2"/>
      <sheetName val="GUL3"/>
      <sheetName val="GUL4"/>
      <sheetName val="GUL5"/>
      <sheetName val="GUL6"/>
      <sheetName val="GUL7"/>
      <sheetName val="PTH1"/>
      <sheetName val="PTH2"/>
      <sheetName val="PTH3"/>
      <sheetName val="PTH4"/>
      <sheetName val="PTH5"/>
      <sheetName val="PTH6"/>
      <sheetName val="PTH7"/>
      <sheetName val="PTH8"/>
      <sheetName val="HOM1"/>
      <sheetName val="HOM2"/>
      <sheetName val="HOM3"/>
      <sheetName val="HOM4"/>
      <sheetName val="RIV1"/>
      <sheetName val="RIV2"/>
      <sheetName val="RIV3"/>
      <sheetName val="RIV4"/>
      <sheetName val="TNS1"/>
      <sheetName val="TNS2"/>
      <sheetName val="TNS3"/>
      <sheetName val="TNS4"/>
      <sheetName val="TNS5"/>
      <sheetName val="TNS6"/>
      <sheetName val="TNS7"/>
      <sheetName val="LID1"/>
      <sheetName val="LID2"/>
      <sheetName val="LID3"/>
      <sheetName val="LID4"/>
      <sheetName val="LID5"/>
      <sheetName val="LID6"/>
      <sheetName val="LID7"/>
      <sheetName val="LID8"/>
      <sheetName val="RCH1"/>
      <sheetName val="RCH2"/>
      <sheetName val="RCH3"/>
      <sheetName val="RCH4"/>
      <sheetName val="RCH5"/>
      <sheetName val="RCH6"/>
      <sheetName val="RCH7"/>
      <sheetName val="MAI3"/>
      <sheetName val="MAI7"/>
      <sheetName val="MAI11"/>
      <sheetName val="CAI1"/>
      <sheetName val="CAI2"/>
      <sheetName val="CAI3"/>
      <sheetName val="CAI4"/>
      <sheetName val="CAI5"/>
      <sheetName val="MKY1"/>
      <sheetName val="MKY2"/>
      <sheetName val="MKY3"/>
      <sheetName val="MKY4"/>
      <sheetName val="MKY5"/>
      <sheetName val="MDG1"/>
      <sheetName val="MDG2"/>
      <sheetName val="MDG3"/>
      <sheetName val="TEE2"/>
      <sheetName val="TEE3"/>
      <sheetName val="TEE4"/>
      <sheetName val="TEE5"/>
      <sheetName val="ASH1"/>
      <sheetName val="ASH2"/>
      <sheetName val="ASH3"/>
      <sheetName val="BBE1"/>
      <sheetName val="BBE2"/>
      <sheetName val="BBE3"/>
      <sheetName val="BBE8"/>
      <sheetName val="BDB1"/>
      <sheetName val="BDB2"/>
      <sheetName val="BDB4"/>
      <sheetName val="COR4"/>
      <sheetName val="COR5"/>
      <sheetName val="COR6"/>
      <sheetName val="COR7"/>
      <sheetName val="COR8"/>
      <sheetName val="COR11"/>
      <sheetName val="CVI1"/>
      <sheetName val="CVI2"/>
      <sheetName val="CVI3"/>
      <sheetName val="CVI4"/>
      <sheetName val="CVI5"/>
      <sheetName val="CVI6"/>
      <sheetName val="DAP1"/>
      <sheetName val="DAP2"/>
      <sheetName val="DAP3"/>
      <sheetName val="DAP4"/>
      <sheetName val="DAP5"/>
      <sheetName val="DAP6"/>
      <sheetName val="IPS2"/>
      <sheetName val="IPS3"/>
      <sheetName val="IPS4"/>
      <sheetName val="IPS8"/>
      <sheetName val="KLG1"/>
      <sheetName val="KLG4"/>
      <sheetName val="KLG7"/>
      <sheetName val="LIV4"/>
      <sheetName val="LJT1"/>
      <sheetName val="LJT2"/>
      <sheetName val="LJT3"/>
      <sheetName val="LJT4"/>
      <sheetName val="LJT5"/>
      <sheetName val="LJT6"/>
      <sheetName val="LJT7"/>
      <sheetName val="LJT8"/>
      <sheetName val="LJT9"/>
      <sheetName val="NDG1"/>
      <sheetName val="NDG2"/>
      <sheetName val="NDG3"/>
      <sheetName val="NDG4"/>
      <sheetName val="NDG5"/>
      <sheetName val="NDG6"/>
      <sheetName val="QBN3"/>
      <sheetName val="QBN4"/>
      <sheetName val="QBN6"/>
      <sheetName val="ROT1"/>
      <sheetName val="ROT2"/>
      <sheetName val="ROT3"/>
      <sheetName val="ROT4"/>
      <sheetName val="SLA1"/>
      <sheetName val="SLA2"/>
      <sheetName val="SLA3"/>
      <sheetName val="WAG1"/>
      <sheetName val="WAG2"/>
      <sheetName val="WAG3"/>
      <sheetName val="WLG1"/>
      <sheetName val="WLG2"/>
      <sheetName val="WLG3"/>
      <sheetName val="WLG4"/>
      <sheetName val="WLG5"/>
      <sheetName val="WLG6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JDE FSAM Subledger</v>
          </cell>
          <cell r="B1" t="str">
            <v>Design EV</v>
          </cell>
          <cell r="C1" t="str">
            <v>Design Status Comment</v>
          </cell>
        </row>
        <row r="2">
          <cell r="A2" t="str">
            <v>CAS1</v>
          </cell>
          <cell r="B2">
            <v>0.01</v>
          </cell>
          <cell r="C2" t="str">
            <v>CI Received</v>
          </cell>
        </row>
        <row r="3">
          <cell r="A3" t="str">
            <v>CFS1</v>
          </cell>
          <cell r="B3">
            <v>0</v>
          </cell>
          <cell r="C3" t="str">
            <v>Designed by NBN</v>
          </cell>
        </row>
        <row r="4">
          <cell r="A4" t="str">
            <v>CFS2</v>
          </cell>
          <cell r="B4">
            <v>0</v>
          </cell>
          <cell r="C4" t="str">
            <v>Designed by NBN</v>
          </cell>
        </row>
        <row r="5">
          <cell r="A5" t="str">
            <v>GRN1</v>
          </cell>
          <cell r="B5">
            <v>0.01</v>
          </cell>
          <cell r="C5" t="str">
            <v>CI Received</v>
          </cell>
        </row>
        <row r="6">
          <cell r="A6" t="str">
            <v>GRN3</v>
          </cell>
          <cell r="B6">
            <v>0.01</v>
          </cell>
          <cell r="C6" t="str">
            <v>CI Received</v>
          </cell>
        </row>
        <row r="7">
          <cell r="A7" t="str">
            <v>HOM5</v>
          </cell>
          <cell r="B7">
            <v>0.01</v>
          </cell>
          <cell r="C7" t="str">
            <v>CI Received</v>
          </cell>
        </row>
        <row r="8">
          <cell r="A8" t="str">
            <v>HOM6</v>
          </cell>
          <cell r="B8">
            <v>0.01</v>
          </cell>
          <cell r="C8" t="str">
            <v>CI Received</v>
          </cell>
        </row>
        <row r="9">
          <cell r="A9" t="str">
            <v>PTH9</v>
          </cell>
          <cell r="B9">
            <v>0.01</v>
          </cell>
          <cell r="C9" t="str">
            <v>CI Received</v>
          </cell>
        </row>
        <row r="10">
          <cell r="A10" t="str">
            <v>RYD1</v>
          </cell>
          <cell r="B10">
            <v>0.01</v>
          </cell>
          <cell r="C10" t="str">
            <v>CI Received</v>
          </cell>
        </row>
        <row r="11">
          <cell r="A11" t="str">
            <v>TEE1</v>
          </cell>
          <cell r="B11">
            <v>0.01</v>
          </cell>
          <cell r="C11" t="str">
            <v>CI Received</v>
          </cell>
        </row>
        <row r="12">
          <cell r="A12" t="str">
            <v>TEE6</v>
          </cell>
          <cell r="B12">
            <v>0.01</v>
          </cell>
          <cell r="C12" t="str">
            <v>CI Received</v>
          </cell>
        </row>
        <row r="13">
          <cell r="A13" t="str">
            <v>WAG4</v>
          </cell>
          <cell r="B13">
            <v>0.01</v>
          </cell>
          <cell r="C13" t="str">
            <v>CI Received</v>
          </cell>
        </row>
        <row r="14">
          <cell r="A14" t="str">
            <v>APL7</v>
          </cell>
          <cell r="B14">
            <v>0.01</v>
          </cell>
          <cell r="C14" t="str">
            <v>CI Received</v>
          </cell>
        </row>
        <row r="15">
          <cell r="A15" t="str">
            <v>APL8</v>
          </cell>
          <cell r="B15">
            <v>0.01</v>
          </cell>
          <cell r="C15" t="str">
            <v>CI Received</v>
          </cell>
        </row>
        <row r="16">
          <cell r="A16" t="str">
            <v>APL9</v>
          </cell>
          <cell r="B16">
            <v>0.01</v>
          </cell>
          <cell r="C16" t="str">
            <v>CI Received</v>
          </cell>
        </row>
        <row r="17">
          <cell r="A17" t="str">
            <v>ASH4</v>
          </cell>
          <cell r="B17">
            <v>0.01</v>
          </cell>
          <cell r="C17" t="str">
            <v>CI Received</v>
          </cell>
        </row>
        <row r="18">
          <cell r="A18" t="str">
            <v>CAI6</v>
          </cell>
          <cell r="B18">
            <v>0.01</v>
          </cell>
          <cell r="C18" t="str">
            <v>CI Received</v>
          </cell>
        </row>
        <row r="19">
          <cell r="A19" t="str">
            <v>FRV1</v>
          </cell>
          <cell r="B19">
            <v>0.01</v>
          </cell>
          <cell r="C19" t="str">
            <v>CI Received</v>
          </cell>
        </row>
        <row r="20">
          <cell r="A20" t="str">
            <v>TOB10</v>
          </cell>
          <cell r="B20">
            <v>0.01</v>
          </cell>
          <cell r="C20" t="str">
            <v>CI Received</v>
          </cell>
        </row>
        <row r="21">
          <cell r="A21" t="str">
            <v>QBN5</v>
          </cell>
          <cell r="B21">
            <v>0.01</v>
          </cell>
          <cell r="C21" t="str">
            <v>CI Received</v>
          </cell>
        </row>
        <row r="22">
          <cell r="A22" t="str">
            <v>BLK7</v>
          </cell>
          <cell r="B22">
            <v>0.01</v>
          </cell>
          <cell r="C22" t="str">
            <v>CI Received</v>
          </cell>
        </row>
        <row r="23">
          <cell r="A23" t="str">
            <v>GOS8</v>
          </cell>
          <cell r="B23">
            <v>0.01</v>
          </cell>
          <cell r="C23" t="str">
            <v>CI Received</v>
          </cell>
        </row>
        <row r="24">
          <cell r="A24" t="str">
            <v>GRN2</v>
          </cell>
          <cell r="B24">
            <v>0.01</v>
          </cell>
          <cell r="C24" t="str">
            <v>CI Received</v>
          </cell>
        </row>
        <row r="25">
          <cell r="A25" t="str">
            <v>LIV3</v>
          </cell>
          <cell r="B25">
            <v>0.01</v>
          </cell>
          <cell r="C25" t="str">
            <v>CI Received</v>
          </cell>
        </row>
        <row r="26">
          <cell r="A26" t="str">
            <v>MDG1</v>
          </cell>
          <cell r="B26">
            <v>0.01</v>
          </cell>
          <cell r="C26" t="str">
            <v>CI Received</v>
          </cell>
        </row>
        <row r="27">
          <cell r="A27" t="str">
            <v>MDG2</v>
          </cell>
          <cell r="B27">
            <v>0.01</v>
          </cell>
          <cell r="C27" t="str">
            <v>CI Received</v>
          </cell>
        </row>
        <row r="28">
          <cell r="A28" t="str">
            <v>MDG3</v>
          </cell>
          <cell r="B28">
            <v>0.01</v>
          </cell>
          <cell r="C28" t="str">
            <v>CI Received</v>
          </cell>
        </row>
        <row r="29">
          <cell r="A29" t="str">
            <v>PTH8</v>
          </cell>
          <cell r="B29">
            <v>0.01</v>
          </cell>
          <cell r="C29" t="str">
            <v>CI Received</v>
          </cell>
        </row>
        <row r="30">
          <cell r="A30" t="str">
            <v>RCH7</v>
          </cell>
          <cell r="B30">
            <v>0.01</v>
          </cell>
          <cell r="C30" t="str">
            <v>CI Received</v>
          </cell>
        </row>
        <row r="31">
          <cell r="A31" t="str">
            <v>TEE5</v>
          </cell>
          <cell r="B31">
            <v>0.01</v>
          </cell>
          <cell r="C31" t="str">
            <v>CI Received</v>
          </cell>
        </row>
        <row r="32">
          <cell r="A32" t="str">
            <v>WAG1</v>
          </cell>
          <cell r="B32">
            <v>0.01</v>
          </cell>
          <cell r="C32" t="str">
            <v>CI Received</v>
          </cell>
        </row>
        <row r="33">
          <cell r="A33" t="str">
            <v>WAG2</v>
          </cell>
          <cell r="B33">
            <v>0.01</v>
          </cell>
          <cell r="C33" t="str">
            <v>CI Received</v>
          </cell>
        </row>
        <row r="34">
          <cell r="A34" t="str">
            <v>WAG3</v>
          </cell>
          <cell r="B34">
            <v>0.01</v>
          </cell>
          <cell r="C34" t="str">
            <v>CI Received</v>
          </cell>
        </row>
        <row r="35">
          <cell r="A35" t="str">
            <v>APL5</v>
          </cell>
          <cell r="B35">
            <v>0.01</v>
          </cell>
          <cell r="C35" t="str">
            <v>CI Received</v>
          </cell>
        </row>
        <row r="36">
          <cell r="A36" t="str">
            <v>APL6</v>
          </cell>
          <cell r="B36">
            <v>0.01</v>
          </cell>
          <cell r="C36" t="str">
            <v>CI Received</v>
          </cell>
        </row>
        <row r="37">
          <cell r="A37" t="str">
            <v>ASH1</v>
          </cell>
          <cell r="B37">
            <v>0.01</v>
          </cell>
          <cell r="C37" t="str">
            <v>CI Received</v>
          </cell>
        </row>
        <row r="38">
          <cell r="A38" t="str">
            <v>ASH2</v>
          </cell>
          <cell r="B38">
            <v>0.01</v>
          </cell>
          <cell r="C38" t="str">
            <v>CI Received</v>
          </cell>
        </row>
        <row r="39">
          <cell r="A39" t="str">
            <v>BBE1</v>
          </cell>
          <cell r="B39">
            <v>0.01</v>
          </cell>
          <cell r="C39" t="str">
            <v>CI Received</v>
          </cell>
        </row>
        <row r="40">
          <cell r="A40" t="str">
            <v>BBE2</v>
          </cell>
          <cell r="B40">
            <v>0.01</v>
          </cell>
          <cell r="C40" t="str">
            <v>CI Received</v>
          </cell>
        </row>
        <row r="41">
          <cell r="A41" t="str">
            <v>BBE3</v>
          </cell>
          <cell r="B41">
            <v>0.01</v>
          </cell>
          <cell r="C41" t="str">
            <v>CI Received</v>
          </cell>
        </row>
        <row r="42">
          <cell r="A42" t="str">
            <v>BBE8</v>
          </cell>
          <cell r="B42">
            <v>0.01</v>
          </cell>
          <cell r="C42" t="str">
            <v>CI Received</v>
          </cell>
        </row>
        <row r="43">
          <cell r="A43" t="str">
            <v>BDB4</v>
          </cell>
          <cell r="B43">
            <v>0.01</v>
          </cell>
          <cell r="C43" t="str">
            <v>CI Received</v>
          </cell>
        </row>
        <row r="44">
          <cell r="A44" t="str">
            <v>CAI5</v>
          </cell>
          <cell r="B44">
            <v>0.01</v>
          </cell>
          <cell r="C44" t="str">
            <v>CI Received</v>
          </cell>
        </row>
        <row r="45">
          <cell r="A45" t="str">
            <v>GDN7</v>
          </cell>
          <cell r="B45">
            <v>0.01</v>
          </cell>
          <cell r="C45" t="str">
            <v>CI Received</v>
          </cell>
        </row>
        <row r="46">
          <cell r="A46" t="str">
            <v>GDN8</v>
          </cell>
          <cell r="B46">
            <v>0.01</v>
          </cell>
          <cell r="C46" t="str">
            <v>CI Received</v>
          </cell>
        </row>
        <row r="47">
          <cell r="A47" t="str">
            <v>GUL7</v>
          </cell>
          <cell r="B47">
            <v>0.01</v>
          </cell>
          <cell r="C47" t="str">
            <v>CI Received</v>
          </cell>
        </row>
        <row r="48">
          <cell r="A48" t="str">
            <v>IPS3</v>
          </cell>
          <cell r="B48">
            <v>0.01</v>
          </cell>
          <cell r="C48" t="str">
            <v>CI Received</v>
          </cell>
        </row>
        <row r="49">
          <cell r="A49" t="str">
            <v>IPS8</v>
          </cell>
          <cell r="B49">
            <v>0.01</v>
          </cell>
          <cell r="C49" t="str">
            <v>CI Received</v>
          </cell>
        </row>
        <row r="50">
          <cell r="A50" t="str">
            <v>KLG4</v>
          </cell>
          <cell r="B50">
            <v>0.01</v>
          </cell>
          <cell r="C50" t="str">
            <v>CI Received</v>
          </cell>
        </row>
        <row r="51">
          <cell r="A51" t="str">
            <v>KLG7</v>
          </cell>
          <cell r="B51">
            <v>0.01</v>
          </cell>
          <cell r="C51" t="str">
            <v>CI Received</v>
          </cell>
        </row>
        <row r="52">
          <cell r="A52" t="str">
            <v>MKY5</v>
          </cell>
          <cell r="B52">
            <v>0.01</v>
          </cell>
          <cell r="C52" t="str">
            <v>CI Received</v>
          </cell>
        </row>
        <row r="53">
          <cell r="A53" t="str">
            <v>NDG4</v>
          </cell>
          <cell r="B53">
            <v>0.01</v>
          </cell>
          <cell r="C53" t="str">
            <v>CI Received</v>
          </cell>
        </row>
        <row r="54">
          <cell r="A54" t="str">
            <v>NDG5</v>
          </cell>
          <cell r="B54">
            <v>0.01</v>
          </cell>
          <cell r="C54" t="str">
            <v>CI Received</v>
          </cell>
        </row>
        <row r="55">
          <cell r="A55" t="str">
            <v>NDG6</v>
          </cell>
          <cell r="B55">
            <v>0.01</v>
          </cell>
          <cell r="C55" t="str">
            <v>CI Received</v>
          </cell>
        </row>
        <row r="56">
          <cell r="A56" t="str">
            <v>ROT3</v>
          </cell>
          <cell r="B56">
            <v>0.01</v>
          </cell>
          <cell r="C56" t="str">
            <v>CI Received</v>
          </cell>
        </row>
        <row r="57">
          <cell r="A57" t="str">
            <v>ROT4</v>
          </cell>
          <cell r="B57">
            <v>0.01</v>
          </cell>
          <cell r="C57" t="str">
            <v>CI Received</v>
          </cell>
        </row>
        <row r="58">
          <cell r="A58" t="str">
            <v>SGI1</v>
          </cell>
          <cell r="B58">
            <v>0.01</v>
          </cell>
          <cell r="C58" t="str">
            <v>CI Received</v>
          </cell>
        </row>
        <row r="59">
          <cell r="A59" t="str">
            <v>SGI3</v>
          </cell>
          <cell r="B59">
            <v>0.01</v>
          </cell>
          <cell r="C59" t="str">
            <v>CI Received</v>
          </cell>
        </row>
        <row r="60">
          <cell r="A60" t="str">
            <v>SLA1</v>
          </cell>
          <cell r="B60">
            <v>0.01</v>
          </cell>
          <cell r="C60" t="str">
            <v>CI Received</v>
          </cell>
        </row>
        <row r="61">
          <cell r="A61" t="str">
            <v>SLA2</v>
          </cell>
          <cell r="B61">
            <v>0.01</v>
          </cell>
          <cell r="C61" t="str">
            <v>CI Received</v>
          </cell>
        </row>
        <row r="62">
          <cell r="A62" t="str">
            <v>SLA3</v>
          </cell>
          <cell r="B62">
            <v>0.01</v>
          </cell>
          <cell r="C62" t="str">
            <v>CI Received</v>
          </cell>
        </row>
        <row r="63">
          <cell r="A63" t="str">
            <v>TNS7</v>
          </cell>
          <cell r="B63">
            <v>0.01</v>
          </cell>
          <cell r="C63" t="str">
            <v>CI Received</v>
          </cell>
        </row>
        <row r="64">
          <cell r="A64" t="str">
            <v>BLC1</v>
          </cell>
          <cell r="B64">
            <v>0.01</v>
          </cell>
          <cell r="C64" t="str">
            <v>CI Received</v>
          </cell>
        </row>
        <row r="65">
          <cell r="A65" t="str">
            <v>BLC2</v>
          </cell>
          <cell r="B65">
            <v>0.01</v>
          </cell>
          <cell r="C65" t="str">
            <v>CI Received</v>
          </cell>
        </row>
        <row r="66">
          <cell r="A66" t="str">
            <v>CFS3</v>
          </cell>
          <cell r="B66">
            <v>0.99</v>
          </cell>
          <cell r="C66" t="str">
            <v>CoA Accepted</v>
          </cell>
        </row>
        <row r="67">
          <cell r="A67" t="str">
            <v>CFS5</v>
          </cell>
          <cell r="B67">
            <v>0.99</v>
          </cell>
          <cell r="C67" t="str">
            <v>CoA Accepted</v>
          </cell>
        </row>
        <row r="68">
          <cell r="A68" t="str">
            <v>DAP2</v>
          </cell>
          <cell r="B68">
            <v>0.99</v>
          </cell>
          <cell r="C68" t="str">
            <v>CoA Accepted</v>
          </cell>
        </row>
        <row r="69">
          <cell r="A69" t="str">
            <v>GOS1</v>
          </cell>
          <cell r="B69">
            <v>0.99</v>
          </cell>
          <cell r="C69" t="str">
            <v>CoA Accepted</v>
          </cell>
        </row>
        <row r="70">
          <cell r="A70" t="str">
            <v>GOS2</v>
          </cell>
          <cell r="B70">
            <v>0.99</v>
          </cell>
          <cell r="C70" t="str">
            <v>CoA Accepted</v>
          </cell>
        </row>
        <row r="71">
          <cell r="A71" t="str">
            <v>HOM2</v>
          </cell>
          <cell r="B71">
            <v>0.99</v>
          </cell>
          <cell r="C71" t="str">
            <v>CoA Accepted</v>
          </cell>
        </row>
        <row r="72">
          <cell r="A72" t="str">
            <v>KIA2</v>
          </cell>
          <cell r="B72">
            <v>0.99</v>
          </cell>
          <cell r="C72" t="str">
            <v>CoA Accepted</v>
          </cell>
        </row>
        <row r="73">
          <cell r="A73" t="str">
            <v>KIA3</v>
          </cell>
          <cell r="B73">
            <v>0.99</v>
          </cell>
          <cell r="C73" t="str">
            <v>CoA Accepted</v>
          </cell>
        </row>
        <row r="74">
          <cell r="A74" t="str">
            <v>LID1</v>
          </cell>
          <cell r="B74">
            <v>0.99</v>
          </cell>
          <cell r="C74" t="str">
            <v>CoA Accepted</v>
          </cell>
        </row>
        <row r="75">
          <cell r="A75" t="str">
            <v>SAW1</v>
          </cell>
          <cell r="B75">
            <v>0.99</v>
          </cell>
          <cell r="C75" t="str">
            <v>CoA Accepted</v>
          </cell>
        </row>
        <row r="76">
          <cell r="A76" t="str">
            <v>SAW2</v>
          </cell>
          <cell r="B76">
            <v>0.99</v>
          </cell>
          <cell r="C76" t="str">
            <v>CoA Accepted</v>
          </cell>
        </row>
        <row r="77">
          <cell r="A77" t="str">
            <v>SAW3</v>
          </cell>
          <cell r="B77">
            <v>0.99</v>
          </cell>
          <cell r="C77" t="str">
            <v>CoA Accepted</v>
          </cell>
        </row>
        <row r="78">
          <cell r="A78" t="str">
            <v>APL1</v>
          </cell>
          <cell r="B78">
            <v>0.99</v>
          </cell>
          <cell r="C78" t="str">
            <v>CoA Accepted</v>
          </cell>
        </row>
        <row r="79">
          <cell r="A79" t="str">
            <v>APL2</v>
          </cell>
          <cell r="B79">
            <v>0.99</v>
          </cell>
          <cell r="C79" t="str">
            <v>CoA Accepted</v>
          </cell>
        </row>
        <row r="80">
          <cell r="A80" t="str">
            <v>APL3</v>
          </cell>
          <cell r="B80">
            <v>0.99</v>
          </cell>
          <cell r="C80" t="str">
            <v>CoA Accepted</v>
          </cell>
        </row>
        <row r="81">
          <cell r="A81" t="str">
            <v>APL4</v>
          </cell>
          <cell r="B81">
            <v>0.99</v>
          </cell>
          <cell r="C81" t="str">
            <v>CoA Accepted</v>
          </cell>
        </row>
        <row r="82">
          <cell r="A82" t="str">
            <v>CAI1</v>
          </cell>
          <cell r="B82">
            <v>0.99</v>
          </cell>
          <cell r="C82" t="str">
            <v>CoA Accepted</v>
          </cell>
        </row>
        <row r="83">
          <cell r="A83" t="str">
            <v>GDN1</v>
          </cell>
          <cell r="B83">
            <v>0.99</v>
          </cell>
          <cell r="C83" t="str">
            <v>CoA Accepted</v>
          </cell>
        </row>
        <row r="84">
          <cell r="A84" t="str">
            <v>GDN2</v>
          </cell>
          <cell r="B84">
            <v>0.99</v>
          </cell>
          <cell r="C84" t="str">
            <v>CoA Accepted</v>
          </cell>
        </row>
        <row r="85">
          <cell r="A85" t="str">
            <v>GUL4</v>
          </cell>
          <cell r="B85">
            <v>0.99</v>
          </cell>
          <cell r="C85" t="str">
            <v>CoA Accepted</v>
          </cell>
        </row>
        <row r="86">
          <cell r="A86" t="str">
            <v>TOB2</v>
          </cell>
          <cell r="B86">
            <v>0.99</v>
          </cell>
          <cell r="C86" t="str">
            <v>CoA Accepted</v>
          </cell>
        </row>
        <row r="87">
          <cell r="A87" t="str">
            <v>CRC1</v>
          </cell>
          <cell r="B87">
            <v>0.99</v>
          </cell>
          <cell r="C87" t="str">
            <v>CoA Accepted</v>
          </cell>
        </row>
        <row r="88">
          <cell r="A88" t="str">
            <v>CRC2</v>
          </cell>
          <cell r="B88">
            <v>0.99</v>
          </cell>
          <cell r="C88" t="str">
            <v>CoA Accepted</v>
          </cell>
        </row>
        <row r="89">
          <cell r="A89" t="str">
            <v>CRC4</v>
          </cell>
          <cell r="B89">
            <v>0.99</v>
          </cell>
          <cell r="C89" t="str">
            <v>CoA Accepted</v>
          </cell>
        </row>
        <row r="90">
          <cell r="A90" t="str">
            <v>CRC5</v>
          </cell>
          <cell r="B90">
            <v>0.99</v>
          </cell>
          <cell r="C90" t="str">
            <v>CoA Accepted</v>
          </cell>
        </row>
        <row r="91">
          <cell r="A91" t="str">
            <v>TOB1</v>
          </cell>
          <cell r="B91">
            <v>1</v>
          </cell>
          <cell r="C91" t="str">
            <v>Final Acceptance</v>
          </cell>
        </row>
        <row r="92">
          <cell r="A92" t="str">
            <v>CRC3</v>
          </cell>
          <cell r="B92">
            <v>1</v>
          </cell>
          <cell r="C92" t="str">
            <v>Final Acceptance</v>
          </cell>
        </row>
        <row r="93">
          <cell r="A93" t="str">
            <v>CRC6</v>
          </cell>
          <cell r="B93">
            <v>1</v>
          </cell>
          <cell r="C93" t="str">
            <v>Final Acceptance</v>
          </cell>
        </row>
        <row r="94">
          <cell r="A94" t="str">
            <v>BLK10</v>
          </cell>
          <cell r="B94">
            <v>0.5</v>
          </cell>
          <cell r="C94" t="str">
            <v>Gate 1 Submitted</v>
          </cell>
        </row>
        <row r="95">
          <cell r="A95" t="str">
            <v>COR4</v>
          </cell>
          <cell r="B95">
            <v>0.5</v>
          </cell>
          <cell r="C95" t="str">
            <v>Gate 1 Submitted</v>
          </cell>
        </row>
        <row r="96">
          <cell r="A96" t="str">
            <v>COR5</v>
          </cell>
          <cell r="B96">
            <v>0.5</v>
          </cell>
          <cell r="C96" t="str">
            <v>Gate 1 Submitted</v>
          </cell>
        </row>
        <row r="97">
          <cell r="A97" t="str">
            <v>COR6</v>
          </cell>
          <cell r="B97">
            <v>0.5</v>
          </cell>
          <cell r="C97" t="str">
            <v>Gate 1 Submitted</v>
          </cell>
        </row>
        <row r="98">
          <cell r="A98" t="str">
            <v>COR8</v>
          </cell>
          <cell r="B98">
            <v>0.5</v>
          </cell>
          <cell r="C98" t="str">
            <v>Gate 1 Submitted</v>
          </cell>
        </row>
        <row r="99">
          <cell r="A99" t="str">
            <v>DAP1</v>
          </cell>
          <cell r="B99">
            <v>0.5</v>
          </cell>
          <cell r="C99" t="str">
            <v>Gate 1 Submitted</v>
          </cell>
        </row>
        <row r="100">
          <cell r="A100" t="str">
            <v>DAP6</v>
          </cell>
          <cell r="B100">
            <v>0.5</v>
          </cell>
          <cell r="C100" t="str">
            <v>Gate 1 Submitted</v>
          </cell>
        </row>
        <row r="101">
          <cell r="A101" t="str">
            <v>HOM4</v>
          </cell>
          <cell r="B101">
            <v>0.5</v>
          </cell>
          <cell r="C101" t="str">
            <v>Gate 1 Submitted</v>
          </cell>
        </row>
        <row r="102">
          <cell r="A102" t="str">
            <v>LID7</v>
          </cell>
          <cell r="B102">
            <v>0.5</v>
          </cell>
          <cell r="C102" t="str">
            <v>Gate 1 Submitted</v>
          </cell>
        </row>
        <row r="103">
          <cell r="A103" t="str">
            <v>LIV2</v>
          </cell>
          <cell r="B103">
            <v>0.5</v>
          </cell>
          <cell r="C103" t="str">
            <v>Gate 1 Submitted</v>
          </cell>
        </row>
        <row r="104">
          <cell r="A104" t="str">
            <v>LIV4</v>
          </cell>
          <cell r="B104">
            <v>0.5</v>
          </cell>
          <cell r="C104" t="str">
            <v>Gate 1 Submitted</v>
          </cell>
        </row>
        <row r="105">
          <cell r="A105" t="str">
            <v>LJT5</v>
          </cell>
          <cell r="B105">
            <v>0.5</v>
          </cell>
          <cell r="C105" t="str">
            <v>Gate 1 Submitted</v>
          </cell>
        </row>
        <row r="106">
          <cell r="A106" t="str">
            <v>LJT6</v>
          </cell>
          <cell r="B106">
            <v>0.5</v>
          </cell>
          <cell r="C106" t="str">
            <v>Gate 1 Submitted</v>
          </cell>
        </row>
        <row r="107">
          <cell r="A107" t="str">
            <v>LJT8</v>
          </cell>
          <cell r="B107">
            <v>0.5</v>
          </cell>
          <cell r="C107" t="str">
            <v>Gate 1 Submitted</v>
          </cell>
        </row>
        <row r="108">
          <cell r="A108" t="str">
            <v>LJT9</v>
          </cell>
          <cell r="B108">
            <v>0.5</v>
          </cell>
          <cell r="C108" t="str">
            <v>Gate 1 Submitted</v>
          </cell>
        </row>
        <row r="109">
          <cell r="A109" t="str">
            <v>MAI3</v>
          </cell>
          <cell r="B109">
            <v>0.5</v>
          </cell>
          <cell r="C109" t="str">
            <v>Gate 1 Submitted</v>
          </cell>
        </row>
        <row r="110">
          <cell r="A110" t="str">
            <v>MAI7</v>
          </cell>
          <cell r="B110">
            <v>0.5</v>
          </cell>
          <cell r="C110" t="str">
            <v>Gate 1 Submitted</v>
          </cell>
        </row>
        <row r="111">
          <cell r="A111" t="str">
            <v>MAI11</v>
          </cell>
          <cell r="B111">
            <v>0.5</v>
          </cell>
          <cell r="C111" t="str">
            <v>Gate 1 Submitted</v>
          </cell>
        </row>
        <row r="112">
          <cell r="A112" t="str">
            <v>WLG5</v>
          </cell>
          <cell r="B112">
            <v>0.5</v>
          </cell>
          <cell r="C112" t="str">
            <v>Gate 1 Submitted</v>
          </cell>
        </row>
        <row r="113">
          <cell r="A113" t="str">
            <v>WLG6</v>
          </cell>
          <cell r="B113">
            <v>0.5</v>
          </cell>
          <cell r="C113" t="str">
            <v>Gate 1 Submitted</v>
          </cell>
        </row>
        <row r="114">
          <cell r="A114" t="str">
            <v>ASH3</v>
          </cell>
          <cell r="B114">
            <v>0.5</v>
          </cell>
          <cell r="C114" t="str">
            <v>Gate 1 Submitted</v>
          </cell>
        </row>
        <row r="115">
          <cell r="A115" t="str">
            <v>BDB1</v>
          </cell>
          <cell r="B115">
            <v>0.5</v>
          </cell>
          <cell r="C115" t="str">
            <v>Gate 1 Submitted</v>
          </cell>
        </row>
        <row r="116">
          <cell r="A116" t="str">
            <v>BDB2</v>
          </cell>
          <cell r="B116">
            <v>0.5</v>
          </cell>
          <cell r="C116" t="str">
            <v>Gate 1 Submitted</v>
          </cell>
        </row>
        <row r="117">
          <cell r="A117" t="str">
            <v>CAI4</v>
          </cell>
          <cell r="B117">
            <v>0.5</v>
          </cell>
          <cell r="C117" t="str">
            <v>Gate 1 Submitted</v>
          </cell>
        </row>
        <row r="118">
          <cell r="A118" t="str">
            <v>IPS2</v>
          </cell>
          <cell r="B118">
            <v>0.5</v>
          </cell>
          <cell r="C118" t="str">
            <v>Gate 1 Submitted</v>
          </cell>
        </row>
        <row r="119">
          <cell r="A119" t="str">
            <v>IPS4</v>
          </cell>
          <cell r="B119">
            <v>0.5</v>
          </cell>
          <cell r="C119" t="str">
            <v>Gate 1 Submitted</v>
          </cell>
        </row>
        <row r="120">
          <cell r="A120" t="str">
            <v>ROT1</v>
          </cell>
          <cell r="B120">
            <v>0.5</v>
          </cell>
          <cell r="C120" t="str">
            <v>Gate 1 Submitted</v>
          </cell>
        </row>
        <row r="121">
          <cell r="A121" t="str">
            <v>ROT2</v>
          </cell>
          <cell r="B121">
            <v>0.5</v>
          </cell>
          <cell r="C121" t="str">
            <v>Gate 1 Submitted</v>
          </cell>
        </row>
        <row r="122">
          <cell r="A122" t="str">
            <v>TOB7</v>
          </cell>
          <cell r="B122">
            <v>0.5</v>
          </cell>
          <cell r="C122" t="str">
            <v>Gate 1 Submitted</v>
          </cell>
        </row>
        <row r="123">
          <cell r="A123" t="str">
            <v>TOB8</v>
          </cell>
          <cell r="B123">
            <v>0.5</v>
          </cell>
          <cell r="C123" t="str">
            <v>Gate 1 Submitted</v>
          </cell>
        </row>
        <row r="124">
          <cell r="A124" t="str">
            <v>TOB9</v>
          </cell>
          <cell r="B124">
            <v>0.5</v>
          </cell>
          <cell r="C124" t="str">
            <v>Gate 1 Submitted</v>
          </cell>
        </row>
        <row r="125">
          <cell r="A125" t="str">
            <v>CVI2</v>
          </cell>
          <cell r="B125">
            <v>0.5</v>
          </cell>
          <cell r="C125" t="str">
            <v>Gate 1 Submitted</v>
          </cell>
        </row>
        <row r="126">
          <cell r="A126" t="str">
            <v>CVI3</v>
          </cell>
          <cell r="B126">
            <v>0.5</v>
          </cell>
          <cell r="C126" t="str">
            <v>Gate 1 Submitted</v>
          </cell>
        </row>
        <row r="127">
          <cell r="A127" t="str">
            <v>CVI4</v>
          </cell>
          <cell r="B127">
            <v>0.5</v>
          </cell>
          <cell r="C127" t="str">
            <v>Gate 1 Submitted</v>
          </cell>
        </row>
        <row r="128">
          <cell r="A128" t="str">
            <v>CVI5</v>
          </cell>
          <cell r="B128">
            <v>0.5</v>
          </cell>
          <cell r="C128" t="str">
            <v>Gate 1 Submitted</v>
          </cell>
        </row>
        <row r="129">
          <cell r="A129" t="str">
            <v>CVI6</v>
          </cell>
          <cell r="B129">
            <v>0.5</v>
          </cell>
          <cell r="C129" t="str">
            <v>Gate 1 Submitted</v>
          </cell>
        </row>
        <row r="130">
          <cell r="A130" t="str">
            <v>QBN3</v>
          </cell>
          <cell r="B130">
            <v>0.5</v>
          </cell>
          <cell r="C130" t="str">
            <v>Gate 1 Submitted</v>
          </cell>
        </row>
        <row r="131">
          <cell r="A131" t="str">
            <v>QBN4</v>
          </cell>
          <cell r="B131">
            <v>0.5</v>
          </cell>
          <cell r="C131" t="str">
            <v>Gate 1 Submitted</v>
          </cell>
        </row>
        <row r="132">
          <cell r="A132" t="str">
            <v>QBN6</v>
          </cell>
          <cell r="B132">
            <v>0.5</v>
          </cell>
          <cell r="C132" t="str">
            <v>Gate 1 Submitted</v>
          </cell>
        </row>
        <row r="133">
          <cell r="A133" t="str">
            <v>BLK9</v>
          </cell>
          <cell r="B133">
            <v>0.9</v>
          </cell>
          <cell r="C133" t="str">
            <v>Gate 2 Submitted</v>
          </cell>
        </row>
        <row r="134">
          <cell r="A134" t="str">
            <v>COR7</v>
          </cell>
          <cell r="B134">
            <v>0.9</v>
          </cell>
          <cell r="C134" t="str">
            <v>Gate 2 Submitted</v>
          </cell>
        </row>
        <row r="135">
          <cell r="A135" t="str">
            <v>GOS5</v>
          </cell>
          <cell r="B135">
            <v>0.9</v>
          </cell>
          <cell r="C135" t="str">
            <v>Gate 2 Submitted</v>
          </cell>
        </row>
        <row r="136">
          <cell r="A136" t="str">
            <v>PTH7</v>
          </cell>
          <cell r="B136">
            <v>0.9</v>
          </cell>
          <cell r="C136" t="str">
            <v>Gate 2 Submitted</v>
          </cell>
        </row>
        <row r="137">
          <cell r="A137" t="str">
            <v>WLG3</v>
          </cell>
          <cell r="B137">
            <v>0.9</v>
          </cell>
          <cell r="C137" t="str">
            <v>Gate 2 Submitted</v>
          </cell>
        </row>
        <row r="138">
          <cell r="A138" t="str">
            <v>MKY4</v>
          </cell>
          <cell r="B138">
            <v>0.9</v>
          </cell>
          <cell r="C138" t="str">
            <v>Gate 2 Submitted</v>
          </cell>
        </row>
        <row r="139">
          <cell r="A139" t="str">
            <v>CVI1</v>
          </cell>
          <cell r="B139">
            <v>0.9</v>
          </cell>
          <cell r="C139" t="str">
            <v>Gate 2 Submitted</v>
          </cell>
        </row>
        <row r="140">
          <cell r="A140" t="str">
            <v>ARM4</v>
          </cell>
          <cell r="B140">
            <v>0.95</v>
          </cell>
          <cell r="C140" t="str">
            <v>Gate 3 Submitted</v>
          </cell>
        </row>
        <row r="141">
          <cell r="A141" t="str">
            <v>ARM5</v>
          </cell>
          <cell r="B141">
            <v>0.95</v>
          </cell>
          <cell r="C141" t="str">
            <v>Gate 3 Submitted</v>
          </cell>
        </row>
        <row r="142">
          <cell r="A142" t="str">
            <v>ARM6</v>
          </cell>
          <cell r="B142">
            <v>0.95</v>
          </cell>
          <cell r="C142" t="str">
            <v>Gate 3 Submitted</v>
          </cell>
        </row>
        <row r="143">
          <cell r="A143" t="str">
            <v>BLK1</v>
          </cell>
          <cell r="B143">
            <v>0.95</v>
          </cell>
          <cell r="C143" t="str">
            <v>Gate 3 Submitted</v>
          </cell>
        </row>
        <row r="144">
          <cell r="A144" t="str">
            <v>BLK2</v>
          </cell>
          <cell r="B144">
            <v>0.95</v>
          </cell>
          <cell r="C144" t="str">
            <v>Gate 3 Submitted</v>
          </cell>
        </row>
        <row r="145">
          <cell r="A145" t="str">
            <v>BLK3</v>
          </cell>
          <cell r="B145">
            <v>0.95</v>
          </cell>
          <cell r="C145" t="str">
            <v>Gate 3 Submitted</v>
          </cell>
        </row>
        <row r="146">
          <cell r="A146" t="str">
            <v>BLK4</v>
          </cell>
          <cell r="B146">
            <v>0.95</v>
          </cell>
          <cell r="C146" t="str">
            <v>Gate 3 Submitted</v>
          </cell>
        </row>
        <row r="147">
          <cell r="A147" t="str">
            <v>BLK5</v>
          </cell>
          <cell r="B147">
            <v>0.95</v>
          </cell>
          <cell r="C147" t="str">
            <v>Gate 3 Submitted</v>
          </cell>
        </row>
        <row r="148">
          <cell r="A148" t="str">
            <v>BLK6</v>
          </cell>
          <cell r="B148">
            <v>0.95</v>
          </cell>
          <cell r="C148" t="str">
            <v>Gate 3 Submitted</v>
          </cell>
        </row>
        <row r="149">
          <cell r="A149" t="str">
            <v>CFS4</v>
          </cell>
          <cell r="B149">
            <v>0.95</v>
          </cell>
          <cell r="C149" t="str">
            <v>Gate 3 Submitted</v>
          </cell>
        </row>
        <row r="150">
          <cell r="A150" t="str">
            <v>CFS6</v>
          </cell>
          <cell r="B150">
            <v>0.95</v>
          </cell>
          <cell r="C150" t="str">
            <v>Gate 3 Submitted</v>
          </cell>
        </row>
        <row r="151">
          <cell r="A151" t="str">
            <v>CFS7</v>
          </cell>
          <cell r="B151">
            <v>0.95</v>
          </cell>
          <cell r="C151" t="str">
            <v>Gate 3 Submitted</v>
          </cell>
        </row>
        <row r="152">
          <cell r="A152" t="str">
            <v>COR11</v>
          </cell>
          <cell r="B152">
            <v>0.95</v>
          </cell>
          <cell r="C152" t="str">
            <v>Gate 3 Submitted</v>
          </cell>
        </row>
        <row r="153">
          <cell r="A153" t="str">
            <v>DAP3</v>
          </cell>
          <cell r="B153">
            <v>0.95</v>
          </cell>
          <cell r="C153" t="str">
            <v>Gate 3 Submitted</v>
          </cell>
        </row>
        <row r="154">
          <cell r="A154" t="str">
            <v>DAP4</v>
          </cell>
          <cell r="B154">
            <v>0.95</v>
          </cell>
          <cell r="C154" t="str">
            <v>Gate 3 Submitted</v>
          </cell>
        </row>
        <row r="155">
          <cell r="A155" t="str">
            <v>DAP5</v>
          </cell>
          <cell r="B155">
            <v>0.95</v>
          </cell>
          <cell r="C155" t="str">
            <v>Gate 3 Submitted</v>
          </cell>
        </row>
        <row r="156">
          <cell r="A156" t="str">
            <v>GOS3</v>
          </cell>
          <cell r="B156">
            <v>0.95</v>
          </cell>
          <cell r="C156" t="str">
            <v>Gate 3 Submitted</v>
          </cell>
        </row>
        <row r="157">
          <cell r="A157" t="str">
            <v>GOS4</v>
          </cell>
          <cell r="B157">
            <v>0.95</v>
          </cell>
          <cell r="C157" t="str">
            <v>Gate 3 Submitted</v>
          </cell>
        </row>
        <row r="158">
          <cell r="A158" t="str">
            <v>GOS6</v>
          </cell>
          <cell r="B158">
            <v>0.95</v>
          </cell>
          <cell r="C158" t="str">
            <v>Gate 3 Submitted</v>
          </cell>
        </row>
        <row r="159">
          <cell r="A159" t="str">
            <v>GOS7</v>
          </cell>
          <cell r="B159">
            <v>0.95</v>
          </cell>
          <cell r="C159" t="str">
            <v>Gate 3 Submitted</v>
          </cell>
        </row>
        <row r="160">
          <cell r="A160" t="str">
            <v>HOM1</v>
          </cell>
          <cell r="B160">
            <v>0.95</v>
          </cell>
          <cell r="C160" t="str">
            <v>Gate 3 Submitted</v>
          </cell>
        </row>
        <row r="161">
          <cell r="A161" t="str">
            <v>HOM3</v>
          </cell>
          <cell r="B161">
            <v>0.95</v>
          </cell>
          <cell r="C161" t="str">
            <v>Gate 3 Submitted</v>
          </cell>
        </row>
        <row r="162">
          <cell r="A162" t="str">
            <v>LID2</v>
          </cell>
          <cell r="B162">
            <v>0.95</v>
          </cell>
          <cell r="C162" t="str">
            <v>Gate 3 Submitted</v>
          </cell>
        </row>
        <row r="163">
          <cell r="A163" t="str">
            <v>LID3</v>
          </cell>
          <cell r="B163">
            <v>0.95</v>
          </cell>
          <cell r="C163" t="str">
            <v>Gate 3 Submitted</v>
          </cell>
        </row>
        <row r="164">
          <cell r="A164" t="str">
            <v>LID4</v>
          </cell>
          <cell r="B164">
            <v>0.95</v>
          </cell>
          <cell r="C164" t="str">
            <v>Gate 3 Submitted</v>
          </cell>
        </row>
        <row r="165">
          <cell r="A165" t="str">
            <v>LID5</v>
          </cell>
          <cell r="B165">
            <v>0.95</v>
          </cell>
          <cell r="C165" t="str">
            <v>Gate 3 Submitted</v>
          </cell>
        </row>
        <row r="166">
          <cell r="A166" t="str">
            <v>LID6</v>
          </cell>
          <cell r="B166">
            <v>0.95</v>
          </cell>
          <cell r="C166" t="str">
            <v>Gate 3 Submitted</v>
          </cell>
        </row>
        <row r="167">
          <cell r="A167" t="str">
            <v>LID8</v>
          </cell>
          <cell r="B167">
            <v>0.95</v>
          </cell>
          <cell r="C167" t="str">
            <v>Gate 3 Submitted</v>
          </cell>
        </row>
        <row r="168">
          <cell r="A168" t="str">
            <v>LJT1</v>
          </cell>
          <cell r="B168">
            <v>0.95</v>
          </cell>
          <cell r="C168" t="str">
            <v>Gate 3 Submitted</v>
          </cell>
        </row>
        <row r="169">
          <cell r="A169" t="str">
            <v>LJT2</v>
          </cell>
          <cell r="B169">
            <v>0.95</v>
          </cell>
          <cell r="C169" t="str">
            <v>Gate 3 Submitted</v>
          </cell>
        </row>
        <row r="170">
          <cell r="A170" t="str">
            <v>LJT3</v>
          </cell>
          <cell r="B170">
            <v>0.95</v>
          </cell>
          <cell r="C170" t="str">
            <v>Gate 3 Submitted</v>
          </cell>
        </row>
        <row r="171">
          <cell r="A171" t="str">
            <v>LJT4</v>
          </cell>
          <cell r="B171">
            <v>0.95</v>
          </cell>
          <cell r="C171" t="str">
            <v>Gate 3 Submitted</v>
          </cell>
        </row>
        <row r="172">
          <cell r="A172" t="str">
            <v>LJT7</v>
          </cell>
          <cell r="B172">
            <v>0.95</v>
          </cell>
          <cell r="C172" t="str">
            <v>Gate 3 Submitted</v>
          </cell>
        </row>
        <row r="173">
          <cell r="A173" t="str">
            <v>PTH1</v>
          </cell>
          <cell r="B173">
            <v>0.95</v>
          </cell>
          <cell r="C173" t="str">
            <v>Gate 3 Submitted</v>
          </cell>
        </row>
        <row r="174">
          <cell r="A174" t="str">
            <v>PTH2</v>
          </cell>
          <cell r="B174">
            <v>0.95</v>
          </cell>
          <cell r="C174" t="str">
            <v>Gate 3 Submitted</v>
          </cell>
        </row>
        <row r="175">
          <cell r="A175" t="str">
            <v>PTH3</v>
          </cell>
          <cell r="B175">
            <v>0.95</v>
          </cell>
          <cell r="C175" t="str">
            <v>Gate 3 Submitted</v>
          </cell>
        </row>
        <row r="176">
          <cell r="A176" t="str">
            <v>PTH4</v>
          </cell>
          <cell r="B176">
            <v>0.95</v>
          </cell>
          <cell r="C176" t="str">
            <v>Gate 3 Submitted</v>
          </cell>
        </row>
        <row r="177">
          <cell r="A177" t="str">
            <v>PTH5</v>
          </cell>
          <cell r="B177">
            <v>0.95</v>
          </cell>
          <cell r="C177" t="str">
            <v>Gate 3 Submitted</v>
          </cell>
        </row>
        <row r="178">
          <cell r="A178" t="str">
            <v>PTH6</v>
          </cell>
          <cell r="B178">
            <v>0.95</v>
          </cell>
          <cell r="C178" t="str">
            <v>Gate 3 Submitted</v>
          </cell>
        </row>
        <row r="179">
          <cell r="A179" t="str">
            <v>RCH1</v>
          </cell>
          <cell r="B179">
            <v>0.95</v>
          </cell>
          <cell r="C179" t="str">
            <v>Gate 3 Submitted</v>
          </cell>
        </row>
        <row r="180">
          <cell r="A180" t="str">
            <v>RCH2</v>
          </cell>
          <cell r="B180">
            <v>0.95</v>
          </cell>
          <cell r="C180" t="str">
            <v>Gate 3 Submitted</v>
          </cell>
        </row>
        <row r="181">
          <cell r="A181" t="str">
            <v>RCH3</v>
          </cell>
          <cell r="B181">
            <v>0.95</v>
          </cell>
          <cell r="C181" t="str">
            <v>Gate 3 Submitted</v>
          </cell>
        </row>
        <row r="182">
          <cell r="A182" t="str">
            <v>RCH4</v>
          </cell>
          <cell r="B182">
            <v>0.95</v>
          </cell>
          <cell r="C182" t="str">
            <v>Gate 3 Submitted</v>
          </cell>
        </row>
        <row r="183">
          <cell r="A183" t="str">
            <v>RCH5</v>
          </cell>
          <cell r="B183">
            <v>0.95</v>
          </cell>
          <cell r="C183" t="str">
            <v>Gate 3 Submitted</v>
          </cell>
        </row>
        <row r="184">
          <cell r="A184" t="str">
            <v>RCH6</v>
          </cell>
          <cell r="B184">
            <v>0.95</v>
          </cell>
          <cell r="C184" t="str">
            <v>Gate 3 Submitted</v>
          </cell>
        </row>
        <row r="185">
          <cell r="A185" t="str">
            <v>RIV1</v>
          </cell>
          <cell r="B185">
            <v>0.95</v>
          </cell>
          <cell r="C185" t="str">
            <v>Gate 3 Submitted</v>
          </cell>
        </row>
        <row r="186">
          <cell r="A186" t="str">
            <v>RIV2</v>
          </cell>
          <cell r="B186">
            <v>0.95</v>
          </cell>
          <cell r="C186" t="str">
            <v>Gate 3 Submitted</v>
          </cell>
        </row>
        <row r="187">
          <cell r="A187" t="str">
            <v>RIV3</v>
          </cell>
          <cell r="B187">
            <v>0.95</v>
          </cell>
          <cell r="C187" t="str">
            <v>Gate 3 Submitted</v>
          </cell>
        </row>
        <row r="188">
          <cell r="A188" t="str">
            <v>RIV4</v>
          </cell>
          <cell r="B188">
            <v>0.95</v>
          </cell>
          <cell r="C188" t="str">
            <v>Gate 3 Submitted</v>
          </cell>
        </row>
        <row r="189">
          <cell r="A189" t="str">
            <v>SAW4</v>
          </cell>
          <cell r="B189">
            <v>0.95</v>
          </cell>
          <cell r="C189" t="str">
            <v>Gate 3 Submitted</v>
          </cell>
        </row>
        <row r="190">
          <cell r="A190" t="str">
            <v>TEE2</v>
          </cell>
          <cell r="B190">
            <v>0.95</v>
          </cell>
          <cell r="C190" t="str">
            <v>Gate 3 Submitted</v>
          </cell>
        </row>
        <row r="191">
          <cell r="A191" t="str">
            <v>TEE3</v>
          </cell>
          <cell r="B191">
            <v>0.95</v>
          </cell>
          <cell r="C191" t="str">
            <v>Gate 3 Submitted</v>
          </cell>
        </row>
        <row r="192">
          <cell r="A192" t="str">
            <v>TEE4</v>
          </cell>
          <cell r="B192">
            <v>0.95</v>
          </cell>
          <cell r="C192" t="str">
            <v>Gate 3 Submitted</v>
          </cell>
        </row>
        <row r="193">
          <cell r="A193" t="str">
            <v>WLG1</v>
          </cell>
          <cell r="B193">
            <v>0.95</v>
          </cell>
          <cell r="C193" t="str">
            <v>Gate 3 Submitted</v>
          </cell>
        </row>
        <row r="194">
          <cell r="A194" t="str">
            <v>WLG2</v>
          </cell>
          <cell r="B194">
            <v>0.95</v>
          </cell>
          <cell r="C194" t="str">
            <v>Gate 3 Submitted</v>
          </cell>
        </row>
        <row r="195">
          <cell r="A195" t="str">
            <v>WLG4</v>
          </cell>
          <cell r="B195">
            <v>0.95</v>
          </cell>
          <cell r="C195" t="str">
            <v>Gate 3 Submitted</v>
          </cell>
        </row>
        <row r="196">
          <cell r="A196" t="str">
            <v>CAI2</v>
          </cell>
          <cell r="B196">
            <v>0.95</v>
          </cell>
          <cell r="C196" t="str">
            <v>Gate 3 Submitted</v>
          </cell>
        </row>
        <row r="197">
          <cell r="A197" t="str">
            <v>CAI3</v>
          </cell>
          <cell r="B197">
            <v>0.95</v>
          </cell>
          <cell r="C197" t="str">
            <v>Gate 3 Submitted</v>
          </cell>
        </row>
        <row r="198">
          <cell r="A198" t="str">
            <v>GDN3</v>
          </cell>
          <cell r="B198">
            <v>0.95</v>
          </cell>
          <cell r="C198" t="str">
            <v>Gate 3 Submitted</v>
          </cell>
        </row>
        <row r="199">
          <cell r="A199" t="str">
            <v>GDN4</v>
          </cell>
          <cell r="B199">
            <v>0.95</v>
          </cell>
          <cell r="C199" t="str">
            <v>Gate 3 Submitted</v>
          </cell>
        </row>
        <row r="200">
          <cell r="A200" t="str">
            <v>GDN5</v>
          </cell>
          <cell r="B200">
            <v>0.95</v>
          </cell>
          <cell r="C200" t="str">
            <v>Gate 3 Submitted</v>
          </cell>
        </row>
        <row r="201">
          <cell r="A201" t="str">
            <v>GDN6</v>
          </cell>
          <cell r="B201">
            <v>0.95</v>
          </cell>
          <cell r="C201" t="str">
            <v>Gate 3 Submitted</v>
          </cell>
        </row>
        <row r="202">
          <cell r="A202" t="str">
            <v>GUL2</v>
          </cell>
          <cell r="B202">
            <v>0.95</v>
          </cell>
          <cell r="C202" t="str">
            <v>Gate 3 Submitted</v>
          </cell>
        </row>
        <row r="203">
          <cell r="A203" t="str">
            <v>GUL3</v>
          </cell>
          <cell r="B203">
            <v>0.95</v>
          </cell>
          <cell r="C203" t="str">
            <v>Gate 3 Submitted</v>
          </cell>
        </row>
        <row r="204">
          <cell r="A204" t="str">
            <v>GUL5</v>
          </cell>
          <cell r="B204">
            <v>0.95</v>
          </cell>
          <cell r="C204" t="str">
            <v>Gate 3 Submitted</v>
          </cell>
        </row>
        <row r="205">
          <cell r="A205" t="str">
            <v>GUL6</v>
          </cell>
          <cell r="B205">
            <v>0.95</v>
          </cell>
          <cell r="C205" t="str">
            <v>Gate 3 Submitted</v>
          </cell>
        </row>
        <row r="206">
          <cell r="A206" t="str">
            <v>KLG1</v>
          </cell>
          <cell r="B206">
            <v>0.95</v>
          </cell>
          <cell r="C206" t="str">
            <v>Gate 3 Submitted</v>
          </cell>
        </row>
        <row r="207">
          <cell r="A207" t="str">
            <v>MKY1</v>
          </cell>
          <cell r="B207">
            <v>0.95</v>
          </cell>
          <cell r="C207" t="str">
            <v>Gate 3 Submitted</v>
          </cell>
        </row>
        <row r="208">
          <cell r="A208" t="str">
            <v>MKY2</v>
          </cell>
          <cell r="B208">
            <v>0.95</v>
          </cell>
          <cell r="C208" t="str">
            <v>Gate 3 Submitted</v>
          </cell>
        </row>
        <row r="209">
          <cell r="A209" t="str">
            <v>MKY3</v>
          </cell>
          <cell r="B209">
            <v>0.95</v>
          </cell>
          <cell r="C209" t="str">
            <v>Gate 3 Submitted</v>
          </cell>
        </row>
        <row r="210">
          <cell r="A210" t="str">
            <v>NDG1</v>
          </cell>
          <cell r="B210">
            <v>0.95</v>
          </cell>
          <cell r="C210" t="str">
            <v>Gate 3 Submitted</v>
          </cell>
        </row>
        <row r="211">
          <cell r="A211" t="str">
            <v>NDG2</v>
          </cell>
          <cell r="B211">
            <v>0.95</v>
          </cell>
          <cell r="C211" t="str">
            <v>Gate 3 Submitted</v>
          </cell>
        </row>
        <row r="212">
          <cell r="A212" t="str">
            <v>NDG3</v>
          </cell>
          <cell r="B212">
            <v>0.95</v>
          </cell>
          <cell r="C212" t="str">
            <v>Gate 3 Submitted</v>
          </cell>
        </row>
        <row r="213">
          <cell r="A213" t="str">
            <v>TNS1</v>
          </cell>
          <cell r="B213">
            <v>0.95</v>
          </cell>
          <cell r="C213" t="str">
            <v>Gate 3 Submitted</v>
          </cell>
        </row>
        <row r="214">
          <cell r="A214" t="str">
            <v>TNS2</v>
          </cell>
          <cell r="B214">
            <v>0.95</v>
          </cell>
          <cell r="C214" t="str">
            <v>Gate 3 Submitted</v>
          </cell>
        </row>
        <row r="215">
          <cell r="A215" t="str">
            <v>TNS3</v>
          </cell>
          <cell r="B215">
            <v>0.95</v>
          </cell>
          <cell r="C215" t="str">
            <v>Gate 3 Submitted</v>
          </cell>
        </row>
        <row r="216">
          <cell r="A216" t="str">
            <v>TNS4</v>
          </cell>
          <cell r="B216">
            <v>0.95</v>
          </cell>
          <cell r="C216" t="str">
            <v>Gate 3 Submitted</v>
          </cell>
        </row>
        <row r="217">
          <cell r="A217" t="str">
            <v>TNS5</v>
          </cell>
          <cell r="B217">
            <v>0.95</v>
          </cell>
          <cell r="C217" t="str">
            <v>Gate 3 Submitted</v>
          </cell>
        </row>
        <row r="218">
          <cell r="A218" t="str">
            <v>TNS6</v>
          </cell>
          <cell r="B218">
            <v>0.95</v>
          </cell>
          <cell r="C218" t="str">
            <v>Gate 3 Submitted</v>
          </cell>
        </row>
        <row r="219">
          <cell r="A219" t="str">
            <v>SGI6</v>
          </cell>
          <cell r="B219">
            <v>0.01</v>
          </cell>
          <cell r="C219" t="str">
            <v>CI Received</v>
          </cell>
        </row>
        <row r="220">
          <cell r="A220" t="str">
            <v>TRK1</v>
          </cell>
          <cell r="B220">
            <v>0.01</v>
          </cell>
          <cell r="C220" t="str">
            <v>CI Received</v>
          </cell>
        </row>
        <row r="221">
          <cell r="A221" t="str">
            <v>TOB3</v>
          </cell>
          <cell r="B221">
            <v>0.95</v>
          </cell>
          <cell r="C221" t="str">
            <v>Gate 3 Submitted</v>
          </cell>
        </row>
        <row r="222">
          <cell r="A222" t="str">
            <v>TOB4</v>
          </cell>
          <cell r="B222">
            <v>0.95</v>
          </cell>
          <cell r="C222" t="str">
            <v>Gate 3 Submitted</v>
          </cell>
        </row>
        <row r="223">
          <cell r="A223" t="str">
            <v>TOB5</v>
          </cell>
          <cell r="B223">
            <v>0.95</v>
          </cell>
          <cell r="C223" t="str">
            <v>Gate 3 Submitted</v>
          </cell>
        </row>
        <row r="224">
          <cell r="A224" t="str">
            <v>TOB6</v>
          </cell>
          <cell r="B224">
            <v>0.95</v>
          </cell>
          <cell r="C224" t="str">
            <v>Gate 3 Submitted</v>
          </cell>
        </row>
      </sheetData>
      <sheetData sheetId="6">
        <row r="1">
          <cell r="A1" t="str">
            <v>Subledger</v>
          </cell>
          <cell r="B1" t="str">
            <v>EV</v>
          </cell>
          <cell r="C1" t="str">
            <v>Construction Status</v>
          </cell>
        </row>
        <row r="2">
          <cell r="A2" t="str">
            <v>ARM4</v>
          </cell>
          <cell r="B2">
            <v>0.99</v>
          </cell>
          <cell r="C2" t="str">
            <v>76% to 99%</v>
          </cell>
        </row>
        <row r="3">
          <cell r="A3" t="str">
            <v>ARM5</v>
          </cell>
          <cell r="B3">
            <v>0.99</v>
          </cell>
          <cell r="C3" t="str">
            <v>76% to 99%</v>
          </cell>
        </row>
        <row r="4">
          <cell r="A4" t="str">
            <v>ARM6</v>
          </cell>
          <cell r="B4">
            <v>0.60733140232125227</v>
          </cell>
          <cell r="C4" t="str">
            <v>51% to 75%</v>
          </cell>
        </row>
        <row r="5">
          <cell r="A5" t="str">
            <v>BLK1</v>
          </cell>
          <cell r="B5">
            <v>0.72008357761296848</v>
          </cell>
          <cell r="C5" t="str">
            <v>51% to 75%</v>
          </cell>
        </row>
        <row r="6">
          <cell r="A6" t="str">
            <v>BLK2</v>
          </cell>
          <cell r="B6">
            <v>2.8000266607853701E-2</v>
          </cell>
          <cell r="C6" t="str">
            <v>1% to 25%</v>
          </cell>
        </row>
        <row r="7">
          <cell r="A7" t="str">
            <v>BLK3</v>
          </cell>
          <cell r="B7">
            <v>1.9703747585013177E-2</v>
          </cell>
          <cell r="C7" t="str">
            <v>1% to 25%</v>
          </cell>
        </row>
        <row r="8">
          <cell r="A8" t="str">
            <v>BLK4</v>
          </cell>
          <cell r="B8">
            <v>7.2771310035204114E-3</v>
          </cell>
          <cell r="C8" t="str">
            <v>0%</v>
          </cell>
        </row>
        <row r="9">
          <cell r="A9" t="str">
            <v>BLK5</v>
          </cell>
          <cell r="B9">
            <v>0</v>
          </cell>
          <cell r="C9" t="str">
            <v>0%</v>
          </cell>
        </row>
        <row r="10">
          <cell r="A10" t="str">
            <v>BLK6</v>
          </cell>
          <cell r="B10">
            <v>6.6225165562913907E-4</v>
          </cell>
          <cell r="C10" t="str">
            <v>0%</v>
          </cell>
        </row>
        <row r="11">
          <cell r="A11" t="str">
            <v>BLK9</v>
          </cell>
          <cell r="B11">
            <v>0</v>
          </cell>
          <cell r="C11" t="str">
            <v>0%</v>
          </cell>
        </row>
        <row r="12">
          <cell r="A12" t="str">
            <v>CFS1</v>
          </cell>
          <cell r="B12">
            <v>0.99</v>
          </cell>
          <cell r="C12" t="str">
            <v>76% to 99%</v>
          </cell>
        </row>
        <row r="13">
          <cell r="A13" t="str">
            <v>CFS2</v>
          </cell>
          <cell r="B13">
            <v>0.99</v>
          </cell>
          <cell r="C13" t="str">
            <v>76% to 99%</v>
          </cell>
        </row>
        <row r="14">
          <cell r="A14" t="str">
            <v>CFS3</v>
          </cell>
          <cell r="B14">
            <v>0.74002765828581751</v>
          </cell>
          <cell r="C14" t="str">
            <v>51% to 75%</v>
          </cell>
        </row>
        <row r="15">
          <cell r="A15" t="str">
            <v>CFS4</v>
          </cell>
          <cell r="B15">
            <v>0.11911474091816909</v>
          </cell>
          <cell r="C15" t="str">
            <v>1% to 25%</v>
          </cell>
        </row>
        <row r="16">
          <cell r="A16" t="str">
            <v>CFS5</v>
          </cell>
          <cell r="B16">
            <v>0.99</v>
          </cell>
          <cell r="C16" t="str">
            <v>76% to 99%</v>
          </cell>
        </row>
        <row r="17">
          <cell r="A17" t="str">
            <v>CFS6</v>
          </cell>
          <cell r="B17">
            <v>6.0606060606060597E-3</v>
          </cell>
          <cell r="C17" t="str">
            <v>0%</v>
          </cell>
        </row>
        <row r="18">
          <cell r="A18" t="str">
            <v>CFS7</v>
          </cell>
          <cell r="B18">
            <v>5.2525252525252523E-2</v>
          </cell>
          <cell r="C18" t="str">
            <v>1% to 25%</v>
          </cell>
        </row>
        <row r="19">
          <cell r="A19" t="str">
            <v>COR4</v>
          </cell>
          <cell r="B19">
            <v>0</v>
          </cell>
          <cell r="C19" t="str">
            <v>0%</v>
          </cell>
        </row>
        <row r="20">
          <cell r="A20" t="str">
            <v>COR5</v>
          </cell>
          <cell r="B20">
            <v>0</v>
          </cell>
          <cell r="C20" t="str">
            <v>0%</v>
          </cell>
        </row>
        <row r="21">
          <cell r="A21" t="str">
            <v>COR6</v>
          </cell>
          <cell r="B21">
            <v>0</v>
          </cell>
          <cell r="C21" t="str">
            <v>0%</v>
          </cell>
        </row>
        <row r="22">
          <cell r="A22" t="str">
            <v>COR7</v>
          </cell>
          <cell r="B22">
            <v>0</v>
          </cell>
          <cell r="C22" t="str">
            <v>0%</v>
          </cell>
        </row>
        <row r="23">
          <cell r="A23" t="str">
            <v>COR8</v>
          </cell>
          <cell r="B23">
            <v>0</v>
          </cell>
          <cell r="C23" t="str">
            <v>0%</v>
          </cell>
        </row>
        <row r="24">
          <cell r="A24" t="str">
            <v>COR11</v>
          </cell>
          <cell r="B24">
            <v>0</v>
          </cell>
          <cell r="C24" t="str">
            <v>0%</v>
          </cell>
        </row>
        <row r="25">
          <cell r="A25" t="str">
            <v>DAP1</v>
          </cell>
          <cell r="B25">
            <v>0</v>
          </cell>
          <cell r="C25" t="str">
            <v>0%</v>
          </cell>
        </row>
        <row r="26">
          <cell r="A26" t="str">
            <v>DAP2</v>
          </cell>
          <cell r="B26">
            <v>0</v>
          </cell>
          <cell r="C26" t="str">
            <v>0%</v>
          </cell>
        </row>
        <row r="27">
          <cell r="A27" t="str">
            <v>DAP3</v>
          </cell>
          <cell r="B27">
            <v>0</v>
          </cell>
          <cell r="C27" t="str">
            <v>0%</v>
          </cell>
        </row>
        <row r="28">
          <cell r="A28" t="str">
            <v>DAP4</v>
          </cell>
          <cell r="B28">
            <v>0</v>
          </cell>
          <cell r="C28" t="str">
            <v>0%</v>
          </cell>
        </row>
        <row r="29">
          <cell r="A29" t="str">
            <v>DAP5</v>
          </cell>
          <cell r="B29">
            <v>0</v>
          </cell>
          <cell r="C29" t="str">
            <v>0%</v>
          </cell>
        </row>
        <row r="30">
          <cell r="A30" t="str">
            <v>DAP6</v>
          </cell>
          <cell r="B30">
            <v>0</v>
          </cell>
          <cell r="C30" t="str">
            <v>0%</v>
          </cell>
        </row>
        <row r="31">
          <cell r="A31" t="str">
            <v>GOS1</v>
          </cell>
          <cell r="B31">
            <v>0.99</v>
          </cell>
          <cell r="C31" t="str">
            <v>76% to 99%</v>
          </cell>
        </row>
        <row r="32">
          <cell r="A32" t="str">
            <v>GOS2</v>
          </cell>
          <cell r="B32">
            <v>0.99</v>
          </cell>
          <cell r="C32" t="str">
            <v>76% to 99%</v>
          </cell>
        </row>
        <row r="33">
          <cell r="A33" t="str">
            <v>GOS3</v>
          </cell>
          <cell r="B33">
            <v>0.20101320065093323</v>
          </cell>
          <cell r="C33" t="str">
            <v>1% to 25%</v>
          </cell>
        </row>
        <row r="34">
          <cell r="A34" t="str">
            <v>GOS4</v>
          </cell>
          <cell r="B34">
            <v>0</v>
          </cell>
          <cell r="C34" t="str">
            <v>0%</v>
          </cell>
        </row>
        <row r="35">
          <cell r="A35" t="str">
            <v>GOS5</v>
          </cell>
          <cell r="B35">
            <v>0</v>
          </cell>
          <cell r="C35" t="str">
            <v>0%</v>
          </cell>
        </row>
        <row r="36">
          <cell r="A36" t="str">
            <v>GOS6</v>
          </cell>
          <cell r="B36">
            <v>0</v>
          </cell>
          <cell r="C36" t="str">
            <v>0%</v>
          </cell>
        </row>
        <row r="37">
          <cell r="A37" t="str">
            <v>GOS7</v>
          </cell>
          <cell r="B37">
            <v>0</v>
          </cell>
          <cell r="C37" t="str">
            <v>0%</v>
          </cell>
        </row>
        <row r="38">
          <cell r="A38" t="str">
            <v>GOS8</v>
          </cell>
          <cell r="B38">
            <v>0</v>
          </cell>
          <cell r="C38" t="str">
            <v>0%</v>
          </cell>
        </row>
        <row r="39">
          <cell r="A39" t="str">
            <v>HOM1</v>
          </cell>
          <cell r="B39">
            <v>0.99</v>
          </cell>
          <cell r="C39" t="str">
            <v>76% to 99%</v>
          </cell>
        </row>
        <row r="40">
          <cell r="A40" t="str">
            <v>HOM2</v>
          </cell>
          <cell r="B40">
            <v>0.31381049760546542</v>
          </cell>
          <cell r="C40" t="str">
            <v>26% to 50%</v>
          </cell>
        </row>
        <row r="41">
          <cell r="A41" t="str">
            <v>HOM3</v>
          </cell>
          <cell r="B41">
            <v>0</v>
          </cell>
          <cell r="C41" t="str">
            <v>0%</v>
          </cell>
        </row>
        <row r="42">
          <cell r="A42" t="str">
            <v>HOM4</v>
          </cell>
          <cell r="B42">
            <v>0</v>
          </cell>
          <cell r="C42" t="str">
            <v>0%</v>
          </cell>
        </row>
        <row r="43">
          <cell r="A43" t="str">
            <v>KIA2</v>
          </cell>
          <cell r="B43">
            <v>0.16314972218939683</v>
          </cell>
          <cell r="C43" t="str">
            <v>1% to 25%</v>
          </cell>
        </row>
        <row r="44">
          <cell r="A44" t="str">
            <v>KIA3</v>
          </cell>
          <cell r="B44">
            <v>0.89096892907006597</v>
          </cell>
          <cell r="C44" t="str">
            <v>76% to 99%</v>
          </cell>
        </row>
        <row r="45">
          <cell r="A45" t="str">
            <v>LID1</v>
          </cell>
          <cell r="B45">
            <v>0.17977031418324829</v>
          </cell>
          <cell r="C45" t="str">
            <v>1% to 25%</v>
          </cell>
        </row>
        <row r="46">
          <cell r="A46" t="str">
            <v>LID2</v>
          </cell>
          <cell r="B46">
            <v>1.8771270807068915E-2</v>
          </cell>
          <cell r="C46" t="str">
            <v>1% to 25%</v>
          </cell>
        </row>
        <row r="47">
          <cell r="A47" t="str">
            <v>LID3</v>
          </cell>
          <cell r="B47">
            <v>6.6508313539192405E-3</v>
          </cell>
          <cell r="C47" t="str">
            <v>0%</v>
          </cell>
        </row>
        <row r="48">
          <cell r="A48" t="str">
            <v>LID4</v>
          </cell>
          <cell r="B48">
            <v>0</v>
          </cell>
          <cell r="C48" t="str">
            <v>0%</v>
          </cell>
        </row>
        <row r="49">
          <cell r="A49" t="str">
            <v>LID5</v>
          </cell>
          <cell r="B49">
            <v>0</v>
          </cell>
          <cell r="C49" t="str">
            <v>0%</v>
          </cell>
        </row>
        <row r="50">
          <cell r="A50" t="str">
            <v>LID6</v>
          </cell>
          <cell r="B50">
            <v>0</v>
          </cell>
          <cell r="C50" t="str">
            <v>0%</v>
          </cell>
        </row>
        <row r="51">
          <cell r="A51" t="str">
            <v>LID7</v>
          </cell>
          <cell r="B51">
            <v>0</v>
          </cell>
          <cell r="C51" t="str">
            <v>0%</v>
          </cell>
        </row>
        <row r="52">
          <cell r="A52" t="str">
            <v>LID8</v>
          </cell>
          <cell r="B52">
            <v>0</v>
          </cell>
          <cell r="C52" t="str">
            <v>0%</v>
          </cell>
        </row>
        <row r="53">
          <cell r="A53" t="str">
            <v>LIV4</v>
          </cell>
          <cell r="B53">
            <v>0</v>
          </cell>
          <cell r="C53" t="str">
            <v>0%</v>
          </cell>
        </row>
        <row r="54">
          <cell r="A54" t="str">
            <v>LJT1</v>
          </cell>
          <cell r="B54">
            <v>8.638781571653481E-2</v>
          </cell>
          <cell r="C54" t="str">
            <v>1% to 25%</v>
          </cell>
        </row>
        <row r="55">
          <cell r="A55" t="str">
            <v>LJT2</v>
          </cell>
          <cell r="B55">
            <v>0</v>
          </cell>
          <cell r="C55" t="str">
            <v>0%</v>
          </cell>
        </row>
        <row r="56">
          <cell r="A56" t="str">
            <v>LJT3</v>
          </cell>
          <cell r="B56">
            <v>0</v>
          </cell>
          <cell r="C56" t="str">
            <v>0%</v>
          </cell>
        </row>
        <row r="57">
          <cell r="A57" t="str">
            <v>LJT4</v>
          </cell>
          <cell r="B57">
            <v>0</v>
          </cell>
          <cell r="C57" t="str">
            <v>0%</v>
          </cell>
        </row>
        <row r="58">
          <cell r="A58" t="str">
            <v>LJT5</v>
          </cell>
          <cell r="B58">
            <v>0</v>
          </cell>
          <cell r="C58" t="str">
            <v>0%</v>
          </cell>
        </row>
        <row r="59">
          <cell r="A59" t="str">
            <v>LJT6</v>
          </cell>
          <cell r="B59">
            <v>0</v>
          </cell>
          <cell r="C59" t="str">
            <v>0%</v>
          </cell>
        </row>
        <row r="60">
          <cell r="A60" t="str">
            <v>LJT7</v>
          </cell>
          <cell r="B60">
            <v>0</v>
          </cell>
          <cell r="C60" t="str">
            <v>0%</v>
          </cell>
        </row>
        <row r="61">
          <cell r="A61" t="str">
            <v>LJT8</v>
          </cell>
          <cell r="B61">
            <v>0</v>
          </cell>
          <cell r="C61" t="str">
            <v>0%</v>
          </cell>
        </row>
        <row r="62">
          <cell r="A62" t="str">
            <v>LJT9</v>
          </cell>
          <cell r="B62">
            <v>0</v>
          </cell>
          <cell r="C62" t="str">
            <v>0%</v>
          </cell>
        </row>
        <row r="63">
          <cell r="A63" t="str">
            <v>MAI3</v>
          </cell>
          <cell r="B63">
            <v>0</v>
          </cell>
          <cell r="C63" t="str">
            <v>0%</v>
          </cell>
        </row>
        <row r="64">
          <cell r="A64" t="str">
            <v>MAI7</v>
          </cell>
          <cell r="B64">
            <v>0</v>
          </cell>
          <cell r="C64" t="str">
            <v>0%</v>
          </cell>
        </row>
        <row r="65">
          <cell r="A65" t="str">
            <v>MAI11</v>
          </cell>
          <cell r="B65">
            <v>0</v>
          </cell>
          <cell r="C65" t="str">
            <v>0%</v>
          </cell>
        </row>
        <row r="66">
          <cell r="A66" t="str">
            <v>MDG1</v>
          </cell>
          <cell r="B66">
            <v>0</v>
          </cell>
          <cell r="C66" t="str">
            <v>0%</v>
          </cell>
        </row>
        <row r="67">
          <cell r="A67" t="str">
            <v>MDG2</v>
          </cell>
          <cell r="B67">
            <v>0</v>
          </cell>
          <cell r="C67" t="str">
            <v>0%</v>
          </cell>
        </row>
        <row r="68">
          <cell r="A68" t="str">
            <v>MDG3</v>
          </cell>
          <cell r="B68">
            <v>0</v>
          </cell>
          <cell r="C68" t="str">
            <v>0%</v>
          </cell>
        </row>
        <row r="69">
          <cell r="A69" t="str">
            <v>PTH1</v>
          </cell>
          <cell r="B69">
            <v>0.97791114877510565</v>
          </cell>
          <cell r="C69" t="str">
            <v>76% to 99%</v>
          </cell>
        </row>
        <row r="70">
          <cell r="A70" t="str">
            <v>PTH2</v>
          </cell>
          <cell r="B70">
            <v>0.49164088326321403</v>
          </cell>
          <cell r="C70" t="str">
            <v>26% to 50%</v>
          </cell>
        </row>
        <row r="71">
          <cell r="A71" t="str">
            <v>PTH3</v>
          </cell>
          <cell r="B71">
            <v>0</v>
          </cell>
          <cell r="C71" t="str">
            <v>0%</v>
          </cell>
        </row>
        <row r="72">
          <cell r="A72" t="str">
            <v>PTH4</v>
          </cell>
          <cell r="B72">
            <v>0</v>
          </cell>
          <cell r="C72" t="str">
            <v>0%</v>
          </cell>
        </row>
        <row r="73">
          <cell r="A73" t="str">
            <v>PTH5</v>
          </cell>
          <cell r="B73">
            <v>0</v>
          </cell>
          <cell r="C73" t="str">
            <v>0%</v>
          </cell>
        </row>
        <row r="74">
          <cell r="A74" t="str">
            <v>PTH6</v>
          </cell>
          <cell r="B74">
            <v>0</v>
          </cell>
          <cell r="C74" t="str">
            <v>0%</v>
          </cell>
        </row>
        <row r="75">
          <cell r="A75" t="str">
            <v>PTH7</v>
          </cell>
          <cell r="B75">
            <v>0</v>
          </cell>
          <cell r="C75" t="str">
            <v>0%</v>
          </cell>
        </row>
        <row r="76">
          <cell r="A76" t="str">
            <v>RCH1</v>
          </cell>
          <cell r="B76">
            <v>9.0720835651990198E-2</v>
          </cell>
          <cell r="C76" t="str">
            <v>1% to 25%</v>
          </cell>
        </row>
        <row r="77">
          <cell r="A77" t="str">
            <v>RCH2</v>
          </cell>
          <cell r="B77">
            <v>0.65238498003955803</v>
          </cell>
          <cell r="C77" t="str">
            <v>51% to 75%</v>
          </cell>
        </row>
        <row r="78">
          <cell r="A78" t="str">
            <v>RCH3</v>
          </cell>
          <cell r="B78">
            <v>4.522292692429139E-2</v>
          </cell>
          <cell r="C78" t="str">
            <v>1% to 25%</v>
          </cell>
        </row>
        <row r="79">
          <cell r="A79" t="str">
            <v>RCH4</v>
          </cell>
          <cell r="B79">
            <v>0.13371104031392353</v>
          </cell>
          <cell r="C79" t="str">
            <v>1% to 25%</v>
          </cell>
        </row>
        <row r="80">
          <cell r="A80" t="str">
            <v>RCH5</v>
          </cell>
          <cell r="B80">
            <v>0</v>
          </cell>
          <cell r="C80" t="str">
            <v>0%</v>
          </cell>
        </row>
        <row r="81">
          <cell r="A81" t="str">
            <v>RCH6</v>
          </cell>
          <cell r="B81">
            <v>0</v>
          </cell>
          <cell r="C81" t="str">
            <v>0%</v>
          </cell>
        </row>
        <row r="82">
          <cell r="A82" t="str">
            <v>RIV1</v>
          </cell>
          <cell r="B82">
            <v>2.230911810737014E-2</v>
          </cell>
          <cell r="C82" t="str">
            <v>1% to 25%</v>
          </cell>
        </row>
        <row r="83">
          <cell r="A83" t="str">
            <v>RIV2</v>
          </cell>
          <cell r="B83">
            <v>1.9170411511002121E-2</v>
          </cell>
          <cell r="C83" t="str">
            <v>1% to 25%</v>
          </cell>
        </row>
        <row r="84">
          <cell r="A84" t="str">
            <v>RIV3</v>
          </cell>
          <cell r="B84">
            <v>0</v>
          </cell>
          <cell r="C84" t="str">
            <v>0%</v>
          </cell>
        </row>
        <row r="85">
          <cell r="A85" t="str">
            <v>RIV4</v>
          </cell>
          <cell r="B85">
            <v>0</v>
          </cell>
          <cell r="C85" t="str">
            <v>0%</v>
          </cell>
        </row>
        <row r="86">
          <cell r="A86" t="str">
            <v>SAW1</v>
          </cell>
          <cell r="B86">
            <v>0.94829510954746343</v>
          </cell>
          <cell r="C86" t="str">
            <v>76% to 99%</v>
          </cell>
        </row>
        <row r="87">
          <cell r="A87" t="str">
            <v>SAW2</v>
          </cell>
          <cell r="B87">
            <v>0.41546426041064571</v>
          </cell>
          <cell r="C87" t="str">
            <v>26% to 50%</v>
          </cell>
        </row>
        <row r="88">
          <cell r="A88" t="str">
            <v>SAW3</v>
          </cell>
          <cell r="B88">
            <v>0.27272847613479423</v>
          </cell>
          <cell r="C88" t="str">
            <v>26% to 50%</v>
          </cell>
        </row>
        <row r="89">
          <cell r="A89" t="str">
            <v>SAW4</v>
          </cell>
          <cell r="B89">
            <v>4.8408784442386187E-2</v>
          </cell>
          <cell r="C89" t="str">
            <v>1% to 25%</v>
          </cell>
        </row>
        <row r="90">
          <cell r="A90" t="str">
            <v>TEE2</v>
          </cell>
          <cell r="B90">
            <v>0</v>
          </cell>
          <cell r="C90" t="str">
            <v>0%</v>
          </cell>
        </row>
        <row r="91">
          <cell r="A91" t="str">
            <v>TEE3</v>
          </cell>
          <cell r="B91">
            <v>0</v>
          </cell>
          <cell r="C91" t="str">
            <v>0%</v>
          </cell>
        </row>
        <row r="92">
          <cell r="A92" t="str">
            <v>TEE4</v>
          </cell>
          <cell r="B92">
            <v>0</v>
          </cell>
          <cell r="C92" t="str">
            <v>0%</v>
          </cell>
        </row>
        <row r="93">
          <cell r="A93" t="str">
            <v>TEE5</v>
          </cell>
          <cell r="B93">
            <v>0</v>
          </cell>
          <cell r="C93" t="str">
            <v>0%</v>
          </cell>
        </row>
        <row r="94">
          <cell r="A94" t="str">
            <v>WAG1</v>
          </cell>
          <cell r="B94">
            <v>0</v>
          </cell>
          <cell r="C94" t="str">
            <v>0%</v>
          </cell>
        </row>
        <row r="95">
          <cell r="A95" t="str">
            <v>WAG2</v>
          </cell>
          <cell r="B95">
            <v>0</v>
          </cell>
          <cell r="C95" t="str">
            <v>0%</v>
          </cell>
        </row>
        <row r="96">
          <cell r="A96" t="str">
            <v>WAG3</v>
          </cell>
          <cell r="B96">
            <v>0</v>
          </cell>
          <cell r="C96" t="str">
            <v>0%</v>
          </cell>
        </row>
        <row r="97">
          <cell r="A97" t="str">
            <v>WLG1</v>
          </cell>
          <cell r="B97">
            <v>0</v>
          </cell>
          <cell r="C97" t="str">
            <v>0%</v>
          </cell>
        </row>
        <row r="98">
          <cell r="A98" t="str">
            <v>WLG2</v>
          </cell>
          <cell r="B98">
            <v>0</v>
          </cell>
          <cell r="C98" t="str">
            <v>0%</v>
          </cell>
        </row>
        <row r="99">
          <cell r="A99" t="str">
            <v>WLG3</v>
          </cell>
          <cell r="B99">
            <v>0</v>
          </cell>
          <cell r="C99" t="str">
            <v>0%</v>
          </cell>
        </row>
        <row r="100">
          <cell r="A100" t="str">
            <v>WLG4</v>
          </cell>
          <cell r="B100">
            <v>0</v>
          </cell>
          <cell r="C100" t="str">
            <v>0%</v>
          </cell>
        </row>
        <row r="101">
          <cell r="A101" t="str">
            <v>WLG5</v>
          </cell>
          <cell r="B101">
            <v>0</v>
          </cell>
          <cell r="C101" t="str">
            <v>0%</v>
          </cell>
        </row>
        <row r="102">
          <cell r="A102" t="str">
            <v>WLG6</v>
          </cell>
          <cell r="B102">
            <v>0</v>
          </cell>
          <cell r="C102" t="str">
            <v>0%</v>
          </cell>
        </row>
        <row r="103">
          <cell r="A103" t="str">
            <v>APL1</v>
          </cell>
          <cell r="B103">
            <v>0.99</v>
          </cell>
          <cell r="C103" t="str">
            <v>76% to 99%</v>
          </cell>
        </row>
        <row r="104">
          <cell r="A104" t="str">
            <v>APL2</v>
          </cell>
          <cell r="B104">
            <v>0.61675899072486329</v>
          </cell>
          <cell r="C104" t="str">
            <v>51% to 75%</v>
          </cell>
        </row>
        <row r="105">
          <cell r="A105" t="str">
            <v>APL3</v>
          </cell>
          <cell r="B105">
            <v>0.99</v>
          </cell>
          <cell r="C105" t="str">
            <v>76% to 99%</v>
          </cell>
        </row>
        <row r="106">
          <cell r="A106" t="str">
            <v>APL4</v>
          </cell>
          <cell r="B106">
            <v>0.99</v>
          </cell>
          <cell r="C106" t="str">
            <v>76% to 99%</v>
          </cell>
        </row>
        <row r="107">
          <cell r="A107" t="str">
            <v>APL5</v>
          </cell>
          <cell r="B107">
            <v>0</v>
          </cell>
          <cell r="C107" t="str">
            <v>0%</v>
          </cell>
        </row>
        <row r="108">
          <cell r="A108" t="str">
            <v>APL6</v>
          </cell>
          <cell r="B108">
            <v>0</v>
          </cell>
          <cell r="C108" t="str">
            <v>0%</v>
          </cell>
        </row>
        <row r="109">
          <cell r="A109" t="str">
            <v>ASH1</v>
          </cell>
          <cell r="B109">
            <v>0</v>
          </cell>
          <cell r="C109" t="str">
            <v>0%</v>
          </cell>
        </row>
        <row r="110">
          <cell r="A110" t="str">
            <v>ASH2</v>
          </cell>
          <cell r="B110">
            <v>0</v>
          </cell>
          <cell r="C110" t="str">
            <v>0%</v>
          </cell>
        </row>
        <row r="111">
          <cell r="A111" t="str">
            <v>ASH3</v>
          </cell>
          <cell r="B111">
            <v>0</v>
          </cell>
          <cell r="C111" t="str">
            <v>0%</v>
          </cell>
        </row>
        <row r="112">
          <cell r="A112" t="str">
            <v>BBE1</v>
          </cell>
          <cell r="B112">
            <v>0</v>
          </cell>
          <cell r="C112" t="str">
            <v>0%</v>
          </cell>
        </row>
        <row r="113">
          <cell r="A113" t="str">
            <v>BDB1</v>
          </cell>
          <cell r="B113">
            <v>0</v>
          </cell>
          <cell r="C113" t="str">
            <v>0%</v>
          </cell>
        </row>
        <row r="114">
          <cell r="A114" t="str">
            <v>BDB2</v>
          </cell>
          <cell r="B114">
            <v>0</v>
          </cell>
          <cell r="C114" t="str">
            <v>0%</v>
          </cell>
        </row>
        <row r="115">
          <cell r="A115" t="str">
            <v>CAI1</v>
          </cell>
          <cell r="B115">
            <v>0.99</v>
          </cell>
          <cell r="C115" t="str">
            <v>76% to 99%</v>
          </cell>
        </row>
        <row r="116">
          <cell r="A116" t="str">
            <v>CAI2</v>
          </cell>
          <cell r="B116">
            <v>6.6307339903989371E-3</v>
          </cell>
          <cell r="C116" t="str">
            <v>0%</v>
          </cell>
        </row>
        <row r="117">
          <cell r="A117" t="str">
            <v>CAI3</v>
          </cell>
          <cell r="B117">
            <v>0.14626087540570532</v>
          </cell>
          <cell r="C117" t="str">
            <v>1% to 25%</v>
          </cell>
        </row>
        <row r="118">
          <cell r="A118" t="str">
            <v>CAI4</v>
          </cell>
          <cell r="B118">
            <v>0</v>
          </cell>
          <cell r="C118" t="str">
            <v>0%</v>
          </cell>
        </row>
        <row r="119">
          <cell r="A119" t="str">
            <v>GDN1</v>
          </cell>
          <cell r="B119">
            <v>0.54809812733637098</v>
          </cell>
          <cell r="C119" t="str">
            <v>51% to 75%</v>
          </cell>
        </row>
        <row r="120">
          <cell r="A120" t="str">
            <v>GDN2</v>
          </cell>
          <cell r="B120">
            <v>0.71135685970125018</v>
          </cell>
          <cell r="C120" t="str">
            <v>51% to 75%</v>
          </cell>
        </row>
        <row r="121">
          <cell r="A121" t="str">
            <v>GDN3</v>
          </cell>
          <cell r="B121">
            <v>0.447306699323468</v>
          </cell>
          <cell r="C121" t="str">
            <v>26% to 50%</v>
          </cell>
        </row>
        <row r="122">
          <cell r="A122" t="str">
            <v>GDN4</v>
          </cell>
          <cell r="B122">
            <v>0.24632491159692865</v>
          </cell>
          <cell r="C122" t="str">
            <v>1% to 25%</v>
          </cell>
        </row>
        <row r="123">
          <cell r="A123" t="str">
            <v>GDN5</v>
          </cell>
          <cell r="B123">
            <v>0</v>
          </cell>
          <cell r="C123" t="str">
            <v>0%</v>
          </cell>
        </row>
        <row r="124">
          <cell r="A124" t="str">
            <v>GDN6</v>
          </cell>
          <cell r="B124">
            <v>0</v>
          </cell>
          <cell r="C124" t="str">
            <v>0%</v>
          </cell>
        </row>
        <row r="125">
          <cell r="A125" t="str">
            <v>GDN7</v>
          </cell>
          <cell r="B125">
            <v>0</v>
          </cell>
          <cell r="C125" t="str">
            <v>0%</v>
          </cell>
        </row>
        <row r="126">
          <cell r="A126" t="str">
            <v>GDN8</v>
          </cell>
          <cell r="B126">
            <v>0</v>
          </cell>
          <cell r="C126" t="str">
            <v>0%</v>
          </cell>
        </row>
        <row r="127">
          <cell r="A127" t="str">
            <v>GUL2</v>
          </cell>
          <cell r="B127">
            <v>0.53377241315541657</v>
          </cell>
          <cell r="C127" t="str">
            <v>51% to 75%</v>
          </cell>
        </row>
        <row r="128">
          <cell r="A128" t="str">
            <v>GUL3</v>
          </cell>
          <cell r="B128">
            <v>0.79344943319570649</v>
          </cell>
          <cell r="C128" t="str">
            <v>76% to 99%</v>
          </cell>
        </row>
        <row r="129">
          <cell r="A129" t="str">
            <v>GUL4</v>
          </cell>
          <cell r="B129">
            <v>0.42168441875900758</v>
          </cell>
          <cell r="C129" t="str">
            <v>26% to 50%</v>
          </cell>
        </row>
        <row r="130">
          <cell r="A130" t="str">
            <v>GUL5</v>
          </cell>
          <cell r="B130">
            <v>0.33127490439211482</v>
          </cell>
          <cell r="C130" t="str">
            <v>26% to 50%</v>
          </cell>
        </row>
        <row r="131">
          <cell r="A131" t="str">
            <v>GUL6</v>
          </cell>
          <cell r="B131">
            <v>4.7300068352699939E-2</v>
          </cell>
          <cell r="C131" t="str">
            <v>1% to 25%</v>
          </cell>
        </row>
        <row r="132">
          <cell r="A132" t="str">
            <v>GUL7</v>
          </cell>
          <cell r="B132">
            <v>0</v>
          </cell>
          <cell r="C132" t="str">
            <v>0%</v>
          </cell>
        </row>
        <row r="133">
          <cell r="A133" t="str">
            <v>IPS2</v>
          </cell>
          <cell r="B133">
            <v>0</v>
          </cell>
          <cell r="C133" t="str">
            <v>0%</v>
          </cell>
        </row>
        <row r="134">
          <cell r="A134" t="str">
            <v>IPS3</v>
          </cell>
          <cell r="B134">
            <v>0</v>
          </cell>
          <cell r="C134" t="str">
            <v>0%</v>
          </cell>
        </row>
        <row r="135">
          <cell r="A135" t="str">
            <v>IPS4</v>
          </cell>
          <cell r="B135">
            <v>0</v>
          </cell>
          <cell r="C135" t="str">
            <v>0%</v>
          </cell>
        </row>
        <row r="136">
          <cell r="A136" t="str">
            <v>IPS8</v>
          </cell>
          <cell r="B136">
            <v>0</v>
          </cell>
          <cell r="C136" t="str">
            <v>0%</v>
          </cell>
        </row>
        <row r="137">
          <cell r="A137" t="str">
            <v>KLG1</v>
          </cell>
          <cell r="B137">
            <v>0</v>
          </cell>
          <cell r="C137" t="str">
            <v>0%</v>
          </cell>
        </row>
        <row r="138">
          <cell r="A138" t="str">
            <v>KLG4</v>
          </cell>
          <cell r="B138">
            <v>0</v>
          </cell>
          <cell r="C138" t="str">
            <v>0%</v>
          </cell>
        </row>
        <row r="139">
          <cell r="A139" t="str">
            <v>KLG7</v>
          </cell>
          <cell r="B139">
            <v>0</v>
          </cell>
          <cell r="C139" t="str">
            <v>0%</v>
          </cell>
        </row>
        <row r="140">
          <cell r="A140" t="str">
            <v>MKY1</v>
          </cell>
          <cell r="B140">
            <v>9.2908591938161873E-3</v>
          </cell>
          <cell r="C140" t="str">
            <v>0%</v>
          </cell>
        </row>
        <row r="141">
          <cell r="A141" t="str">
            <v>MKY2</v>
          </cell>
          <cell r="B141">
            <v>0</v>
          </cell>
          <cell r="C141" t="str">
            <v>0%</v>
          </cell>
        </row>
        <row r="142">
          <cell r="A142" t="str">
            <v>MKY3</v>
          </cell>
          <cell r="B142">
            <v>0</v>
          </cell>
          <cell r="C142" t="str">
            <v>0%</v>
          </cell>
        </row>
        <row r="143">
          <cell r="A143" t="str">
            <v>MKY4</v>
          </cell>
          <cell r="B143">
            <v>0</v>
          </cell>
          <cell r="C143" t="str">
            <v>0%</v>
          </cell>
        </row>
        <row r="144">
          <cell r="A144" t="str">
            <v>NDG1</v>
          </cell>
          <cell r="B144">
            <v>0</v>
          </cell>
          <cell r="C144" t="str">
            <v>0%</v>
          </cell>
        </row>
        <row r="145">
          <cell r="A145" t="str">
            <v>NDG2</v>
          </cell>
          <cell r="B145">
            <v>0</v>
          </cell>
          <cell r="C145" t="str">
            <v>0%</v>
          </cell>
        </row>
        <row r="146">
          <cell r="A146" t="str">
            <v>NDG3</v>
          </cell>
          <cell r="B146">
            <v>4.2378270615376162E-2</v>
          </cell>
          <cell r="C146" t="str">
            <v>1% to 25%</v>
          </cell>
        </row>
        <row r="147">
          <cell r="A147" t="str">
            <v>ROT1</v>
          </cell>
          <cell r="B147">
            <v>0</v>
          </cell>
          <cell r="C147" t="str">
            <v>0%</v>
          </cell>
        </row>
        <row r="148">
          <cell r="A148" t="str">
            <v>ROT2</v>
          </cell>
          <cell r="B148">
            <v>0</v>
          </cell>
          <cell r="C148" t="str">
            <v>0%</v>
          </cell>
        </row>
        <row r="149">
          <cell r="A149" t="str">
            <v>ROT3</v>
          </cell>
          <cell r="B149">
            <v>0</v>
          </cell>
          <cell r="C149" t="str">
            <v>0%</v>
          </cell>
        </row>
        <row r="150">
          <cell r="A150" t="str">
            <v>SLA1</v>
          </cell>
          <cell r="B150">
            <v>0</v>
          </cell>
          <cell r="C150" t="str">
            <v>0%</v>
          </cell>
        </row>
        <row r="151">
          <cell r="A151" t="str">
            <v>SLA2</v>
          </cell>
          <cell r="B151">
            <v>0</v>
          </cell>
          <cell r="C151" t="str">
            <v>0%</v>
          </cell>
        </row>
        <row r="152">
          <cell r="A152" t="str">
            <v>SLA3</v>
          </cell>
          <cell r="B152">
            <v>0</v>
          </cell>
          <cell r="C152" t="str">
            <v>0%</v>
          </cell>
        </row>
        <row r="153">
          <cell r="A153" t="str">
            <v>TNS1</v>
          </cell>
          <cell r="B153">
            <v>0.75067326607642093</v>
          </cell>
          <cell r="C153" t="str">
            <v>51% to 75%</v>
          </cell>
        </row>
        <row r="154">
          <cell r="A154" t="str">
            <v>TNS2</v>
          </cell>
          <cell r="B154">
            <v>0.75743494549010382</v>
          </cell>
          <cell r="C154" t="str">
            <v>51% to 75%</v>
          </cell>
        </row>
        <row r="155">
          <cell r="A155" t="str">
            <v>TNS3</v>
          </cell>
          <cell r="B155">
            <v>0.64013120681889624</v>
          </cell>
          <cell r="C155" t="str">
            <v>51% to 75%</v>
          </cell>
        </row>
        <row r="156">
          <cell r="A156" t="str">
            <v>TNS4</v>
          </cell>
          <cell r="B156">
            <v>0.16601103292850355</v>
          </cell>
          <cell r="C156" t="str">
            <v>1% to 25%</v>
          </cell>
        </row>
        <row r="157">
          <cell r="A157" t="str">
            <v>TNS5</v>
          </cell>
          <cell r="B157">
            <v>0.19692460304918655</v>
          </cell>
          <cell r="C157" t="str">
            <v>1% to 25%</v>
          </cell>
        </row>
        <row r="158">
          <cell r="A158" t="str">
            <v>TNS6</v>
          </cell>
          <cell r="B158">
            <v>0</v>
          </cell>
          <cell r="C158" t="str">
            <v>0%</v>
          </cell>
        </row>
        <row r="159">
          <cell r="A159" t="str">
            <v>TOB1</v>
          </cell>
          <cell r="B159">
            <v>1</v>
          </cell>
          <cell r="C159" t="str">
            <v>100%</v>
          </cell>
        </row>
        <row r="160">
          <cell r="A160" t="str">
            <v>TOB2</v>
          </cell>
          <cell r="B160">
            <v>0.39898209831698139</v>
          </cell>
          <cell r="C160" t="str">
            <v>26% to 50%</v>
          </cell>
        </row>
        <row r="161">
          <cell r="A161" t="str">
            <v>TOB3</v>
          </cell>
          <cell r="B161">
            <v>0.72445633793674136</v>
          </cell>
          <cell r="C161" t="str">
            <v>51% to 75%</v>
          </cell>
        </row>
        <row r="162">
          <cell r="A162" t="str">
            <v>TOB4</v>
          </cell>
          <cell r="B162">
            <v>0.14606155813520585</v>
          </cell>
          <cell r="C162" t="str">
            <v>1% to 25%</v>
          </cell>
        </row>
        <row r="163">
          <cell r="A163" t="str">
            <v>TOB5</v>
          </cell>
          <cell r="B163">
            <v>0</v>
          </cell>
          <cell r="C163" t="str">
            <v>0%</v>
          </cell>
        </row>
        <row r="164">
          <cell r="A164" t="str">
            <v>TOB6</v>
          </cell>
          <cell r="B164">
            <v>2.6432699455228264E-3</v>
          </cell>
          <cell r="C164" t="str">
            <v>0%</v>
          </cell>
        </row>
        <row r="165">
          <cell r="A165" t="str">
            <v>TOB7</v>
          </cell>
          <cell r="B165">
            <v>0</v>
          </cell>
          <cell r="C165" t="str">
            <v>0%</v>
          </cell>
        </row>
        <row r="166">
          <cell r="A166" t="str">
            <v>TOB8</v>
          </cell>
          <cell r="B166">
            <v>0</v>
          </cell>
          <cell r="C166" t="str">
            <v>0%</v>
          </cell>
        </row>
        <row r="167">
          <cell r="A167" t="str">
            <v>TOB9</v>
          </cell>
          <cell r="B167">
            <v>0</v>
          </cell>
          <cell r="C167" t="str">
            <v>0%</v>
          </cell>
        </row>
        <row r="168">
          <cell r="A168" t="str">
            <v>CRC1</v>
          </cell>
          <cell r="B168">
            <v>0.99</v>
          </cell>
          <cell r="C168" t="str">
            <v>76% to 99%</v>
          </cell>
        </row>
        <row r="169">
          <cell r="A169" t="str">
            <v>CRC2</v>
          </cell>
          <cell r="B169">
            <v>0.99</v>
          </cell>
          <cell r="C169" t="str">
            <v>76% to 99%</v>
          </cell>
        </row>
        <row r="170">
          <cell r="A170" t="str">
            <v>CRC3</v>
          </cell>
          <cell r="B170">
            <v>1</v>
          </cell>
          <cell r="C170" t="str">
            <v>100%</v>
          </cell>
        </row>
        <row r="171">
          <cell r="A171" t="str">
            <v>CRC4</v>
          </cell>
          <cell r="B171">
            <v>0.93250489887147336</v>
          </cell>
          <cell r="C171" t="str">
            <v>76% to 99%</v>
          </cell>
        </row>
        <row r="172">
          <cell r="A172" t="str">
            <v>CRC5</v>
          </cell>
          <cell r="B172">
            <v>0.99</v>
          </cell>
          <cell r="C172" t="str">
            <v>76% to 99%</v>
          </cell>
        </row>
        <row r="173">
          <cell r="A173" t="str">
            <v>CRC6</v>
          </cell>
          <cell r="B173">
            <v>1</v>
          </cell>
          <cell r="C173" t="str">
            <v>100%</v>
          </cell>
        </row>
        <row r="174">
          <cell r="A174" t="str">
            <v>CVI1</v>
          </cell>
          <cell r="B174">
            <v>0</v>
          </cell>
          <cell r="C174" t="str">
            <v>0%</v>
          </cell>
        </row>
        <row r="175">
          <cell r="A175" t="str">
            <v>CVI2</v>
          </cell>
          <cell r="B175">
            <v>0</v>
          </cell>
          <cell r="C175" t="str">
            <v>0%</v>
          </cell>
        </row>
        <row r="176">
          <cell r="A176" t="str">
            <v>CVI3</v>
          </cell>
          <cell r="B176">
            <v>0</v>
          </cell>
          <cell r="C176" t="str">
            <v>0%</v>
          </cell>
        </row>
        <row r="177">
          <cell r="A177" t="str">
            <v>CVI4</v>
          </cell>
          <cell r="B177">
            <v>0</v>
          </cell>
          <cell r="C177" t="str">
            <v>0%</v>
          </cell>
        </row>
        <row r="178">
          <cell r="A178" t="str">
            <v>CVI5</v>
          </cell>
          <cell r="B178">
            <v>0</v>
          </cell>
          <cell r="C178" t="str">
            <v>0%</v>
          </cell>
        </row>
        <row r="179">
          <cell r="A179" t="str">
            <v>CVI6</v>
          </cell>
          <cell r="B179">
            <v>0</v>
          </cell>
          <cell r="C179" t="str">
            <v>0%</v>
          </cell>
        </row>
        <row r="180">
          <cell r="A180" t="str">
            <v>QBN3</v>
          </cell>
          <cell r="B180">
            <v>0</v>
          </cell>
          <cell r="C180" t="str">
            <v>0%</v>
          </cell>
        </row>
        <row r="181">
          <cell r="A181" t="str">
            <v>QBN4</v>
          </cell>
          <cell r="B181">
            <v>0</v>
          </cell>
          <cell r="C181" t="str">
            <v>0%</v>
          </cell>
        </row>
        <row r="182">
          <cell r="A182" t="str">
            <v>QBN6</v>
          </cell>
          <cell r="B182">
            <v>0</v>
          </cell>
          <cell r="C182" t="str">
            <v>0%</v>
          </cell>
        </row>
        <row r="183">
          <cell r="A183" t="str">
            <v>NDG4</v>
          </cell>
          <cell r="B183">
            <v>0</v>
          </cell>
          <cell r="C183" t="str">
            <v>0%</v>
          </cell>
        </row>
        <row r="184">
          <cell r="A184" t="str">
            <v>SGI1</v>
          </cell>
          <cell r="B184">
            <v>0</v>
          </cell>
          <cell r="C184" t="str">
            <v>0%</v>
          </cell>
        </row>
        <row r="185">
          <cell r="A185" t="str">
            <v>BBE2</v>
          </cell>
          <cell r="B185">
            <v>0</v>
          </cell>
          <cell r="C185" t="str">
            <v>0%</v>
          </cell>
        </row>
        <row r="186">
          <cell r="A186" t="str">
            <v>BBE3</v>
          </cell>
          <cell r="B186">
            <v>0</v>
          </cell>
          <cell r="C186" t="str">
            <v>0%</v>
          </cell>
        </row>
        <row r="187">
          <cell r="A187" t="str">
            <v>BBE8</v>
          </cell>
          <cell r="B187">
            <v>0</v>
          </cell>
          <cell r="C187" t="str">
            <v>0%</v>
          </cell>
        </row>
        <row r="188">
          <cell r="A188" t="str">
            <v>BLK10</v>
          </cell>
          <cell r="B188">
            <v>0</v>
          </cell>
          <cell r="C188" t="str">
            <v>0%</v>
          </cell>
        </row>
        <row r="189">
          <cell r="A189" t="str">
            <v>GRN2</v>
          </cell>
          <cell r="B189">
            <v>0</v>
          </cell>
          <cell r="C189" t="str">
            <v>0%</v>
          </cell>
        </row>
        <row r="190">
          <cell r="A190" t="str">
            <v>LIV3</v>
          </cell>
          <cell r="B190">
            <v>0</v>
          </cell>
          <cell r="C190" t="str">
            <v>0%</v>
          </cell>
        </row>
        <row r="191">
          <cell r="A191" t="str">
            <v>LIV2</v>
          </cell>
          <cell r="B191">
            <v>0</v>
          </cell>
          <cell r="C191" t="str">
            <v>0%</v>
          </cell>
        </row>
      </sheetData>
      <sheetData sheetId="7"/>
      <sheetData sheetId="8"/>
      <sheetData sheetId="9"/>
      <sheetData sheetId="10">
        <row r="3">
          <cell r="A3" t="str">
            <v>Sum of Qty Completed</v>
          </cell>
        </row>
      </sheetData>
      <sheetData sheetId="11">
        <row r="2">
          <cell r="F2" t="str">
            <v>Risk Item Number</v>
          </cell>
          <cell r="G2" t="str">
            <v>Risk Name &amp; Description</v>
          </cell>
          <cell r="H2" t="str">
            <v>Risk Name</v>
          </cell>
        </row>
        <row r="3">
          <cell r="F3">
            <v>0</v>
          </cell>
          <cell r="G3">
            <v>0</v>
          </cell>
          <cell r="H3" t="str">
            <v>No relevant code, Comment Required --&gt;</v>
          </cell>
        </row>
        <row r="4">
          <cell r="F4">
            <v>1</v>
          </cell>
          <cell r="G4">
            <v>0</v>
          </cell>
          <cell r="H4" t="str">
            <v>PDS Final Reconciliation</v>
          </cell>
        </row>
        <row r="5">
          <cell r="F5" t="str">
            <v>TR-03300</v>
          </cell>
          <cell r="G5" t="str">
            <v xml:space="preserve">Self Performance Productivity Description: Failure to efficiently manage our self performance crews against our DJC. Uncertainty of self performance costs. </v>
          </cell>
          <cell r="H5" t="str">
            <v xml:space="preserve">Self Performance Productivity </v>
          </cell>
        </row>
        <row r="6">
          <cell r="F6" t="str">
            <v>TR-03275</v>
          </cell>
          <cell r="G6" t="str">
            <v xml:space="preserve">Subcontract Resources Description: Inability to engage sufficient subcontract resources </v>
          </cell>
          <cell r="H6" t="str">
            <v xml:space="preserve">Subcontract Resources </v>
          </cell>
        </row>
        <row r="7">
          <cell r="F7" t="str">
            <v>TR-03283</v>
          </cell>
          <cell r="G7" t="str">
            <v xml:space="preserve">Uncertainty of GNAF Volume Forecast Description: Recovery of overheads is subject to the forecast volume of work by GNAF. A reduction against what is forecast will result in reduced overhead recovery. </v>
          </cell>
          <cell r="H7" t="str">
            <v xml:space="preserve">Uncertainty of GNAF Volume Forecast </v>
          </cell>
        </row>
        <row r="8">
          <cell r="F8" t="str">
            <v>TR-03284</v>
          </cell>
          <cell r="G8" t="str">
            <v xml:space="preserve">Uncertainty of Revenue per GNAF Description: Recovery of overheads is based on the value of SOR rates per GNAF/Premise. </v>
          </cell>
          <cell r="H8" t="str">
            <v xml:space="preserve">Uncertainty of Revenue per GNAF </v>
          </cell>
        </row>
        <row r="9">
          <cell r="F9" t="str">
            <v>TR-03256</v>
          </cell>
          <cell r="G9" t="str">
            <v xml:space="preserve">Multi Haul Description: Commercial disagreement regarding the method of measurement for cable hauling activities. </v>
          </cell>
          <cell r="H9" t="str">
            <v xml:space="preserve">Multi Haul </v>
          </cell>
        </row>
        <row r="10">
          <cell r="F10" t="str">
            <v>TR-03259</v>
          </cell>
          <cell r="G10" t="str">
            <v xml:space="preserve">Liquidated Damages Description: The program is currently liable for Design Profile Liquidated damages however they are not being applied by NBN </v>
          </cell>
          <cell r="H10" t="str">
            <v xml:space="preserve">Liquidated Damages </v>
          </cell>
        </row>
        <row r="11">
          <cell r="F11" t="str">
            <v>TR-03262</v>
          </cell>
          <cell r="G11" t="str">
            <v xml:space="preserve">BOQs Description: Silcar is liable for BOQ accuracy and innacuracies can lead to a failure to recover payment for work completed after the BOQs are lump summed up. </v>
          </cell>
          <cell r="H11" t="str">
            <v xml:space="preserve">BOQs </v>
          </cell>
        </row>
        <row r="12">
          <cell r="F12" t="str">
            <v>TR-03270</v>
          </cell>
          <cell r="G12" t="str">
            <v xml:space="preserve">Excessive overtime Description: Excessive payment of overtime rates paid to design and supervision staff to recover delays. </v>
          </cell>
          <cell r="H12" t="str">
            <v xml:space="preserve">Excessive overtime </v>
          </cell>
        </row>
        <row r="13">
          <cell r="F13" t="str">
            <v>TR-03250</v>
          </cell>
          <cell r="G13" t="str">
            <v xml:space="preserve">IR Description: Union action </v>
          </cell>
          <cell r="H13" t="str">
            <v xml:space="preserve">IR </v>
          </cell>
        </row>
        <row r="14">
          <cell r="F14" t="str">
            <v>TR-03271</v>
          </cell>
          <cell r="G14" t="str">
            <v xml:space="preserve">Forecast Productivity not Achieved Description: Forecast efficiency gains not being fully realised as per current cost forecasting. </v>
          </cell>
          <cell r="H14" t="str">
            <v xml:space="preserve">Forecast Productivity not Achieved </v>
          </cell>
        </row>
        <row r="15">
          <cell r="F15" t="str">
            <v>TR-03263</v>
          </cell>
          <cell r="G15" t="str">
            <v xml:space="preserve">Cash flow Description: Change in project cash requirements due to delayed or accelerated program </v>
          </cell>
          <cell r="H15" t="str">
            <v xml:space="preserve">Cash flow </v>
          </cell>
        </row>
        <row r="16">
          <cell r="F16" t="str">
            <v>TR-03249</v>
          </cell>
          <cell r="G16" t="str">
            <v xml:space="preserve">Insufficient QTY of Site Supervision Description: Potential compliance or productivity issues if the level of site supervision is insufficient. </v>
          </cell>
          <cell r="H16" t="str">
            <v xml:space="preserve">Insufficient QTY of Site Supervision </v>
          </cell>
        </row>
        <row r="17">
          <cell r="F17" t="str">
            <v>TR-03252</v>
          </cell>
          <cell r="G17" t="str">
            <v xml:space="preserve">IMS Compliance Description: Failure to effectively implement our management systems resulting in loss of certifications </v>
          </cell>
          <cell r="H17" t="str">
            <v xml:space="preserve">IMS Compliance </v>
          </cell>
        </row>
        <row r="18">
          <cell r="F18" t="str">
            <v>TR-03276</v>
          </cell>
          <cell r="G18" t="str">
            <v xml:space="preserve">Subcontractor engagement &amp; onboarding Description: Mobilisation of subcontractors does not meet project demand including timely procurement process and induction / onboarding. </v>
          </cell>
          <cell r="H18" t="str">
            <v xml:space="preserve">Subcontractor engagement &amp; onboarding </v>
          </cell>
        </row>
        <row r="19">
          <cell r="F19" t="str">
            <v>TR-03296</v>
          </cell>
          <cell r="G19" t="str">
            <v xml:space="preserve">Self Remediation Description: Self remediation of FSAMs was performed by the JV to have greater control and certainty over construction delivery. </v>
          </cell>
          <cell r="H19" t="str">
            <v xml:space="preserve">Self Remediation </v>
          </cell>
        </row>
        <row r="20">
          <cell r="F20" t="str">
            <v>TR-03288</v>
          </cell>
          <cell r="G20" t="str">
            <v xml:space="preserve">Procurement &amp; Logistics Description: Procurement and logistics is untested and accounts for a third of project spend </v>
          </cell>
          <cell r="H20" t="str">
            <v xml:space="preserve">Procurement &amp; Logistics </v>
          </cell>
        </row>
        <row r="21">
          <cell r="F21" t="str">
            <v>TR-03253</v>
          </cell>
          <cell r="G21" t="str">
            <v xml:space="preserve">Inclement Weather &amp; Natural Events Description: Severe or prolonged inclement weather events may lead to isolation from facilities, damage to facilities and/or damage to the works </v>
          </cell>
          <cell r="H21" t="str">
            <v xml:space="preserve">Inclement Weather &amp; Natural Events </v>
          </cell>
        </row>
        <row r="22">
          <cell r="F22" t="str">
            <v>TR-03299</v>
          </cell>
          <cell r="G22" t="str">
            <v xml:space="preserve">Rock/OTR SOR items Description: NBN do not agree that rock/OTR are remeasurable items </v>
          </cell>
          <cell r="H22" t="str">
            <v xml:space="preserve">Rock/OTR SOR items </v>
          </cell>
        </row>
        <row r="23">
          <cell r="F23" t="str">
            <v>TR-03293</v>
          </cell>
          <cell r="G23" t="str">
            <v xml:space="preserve">Offshore design Description: Failure to produce suitable design outputs from offshore design activities </v>
          </cell>
          <cell r="H23" t="str">
            <v xml:space="preserve">Offshore design </v>
          </cell>
        </row>
        <row r="24">
          <cell r="F24" t="str">
            <v>TR-03298</v>
          </cell>
          <cell r="G24" t="str">
            <v xml:space="preserve">Ribbon Splicing Description: Splice and test requirements for ribbon are uncertain. Productivity is uncertain. </v>
          </cell>
          <cell r="H24" t="str">
            <v xml:space="preserve">Ribbon Splicing </v>
          </cell>
        </row>
        <row r="25">
          <cell r="F25" t="str">
            <v>TR-03294</v>
          </cell>
          <cell r="G25" t="str">
            <v xml:space="preserve">Resource constraints in specific FSAreas Description: Resource constraints in specific FSAreas - Wagga - Mackay - Cairns - Mudgee </v>
          </cell>
          <cell r="H25" t="str">
            <v xml:space="preserve">Resource constraints in specific FSAreas </v>
          </cell>
        </row>
        <row r="26">
          <cell r="F26" t="str">
            <v>TR-03281</v>
          </cell>
          <cell r="G26" t="str">
            <v xml:space="preserve">Telstra Behaviour Description: Obstructive behaviour from Telstra </v>
          </cell>
          <cell r="H26" t="str">
            <v xml:space="preserve">Telstra Behaviour </v>
          </cell>
        </row>
        <row r="27">
          <cell r="F27" t="str">
            <v>TR-03287</v>
          </cell>
          <cell r="G27" t="str">
            <v xml:space="preserve">Telstra Remediation Lockout Description: Telstra remediation takes longer than 3 months and we do not have entitlement to EOT. </v>
          </cell>
          <cell r="H27" t="str">
            <v xml:space="preserve">Telstra Remediation Lockout </v>
          </cell>
        </row>
        <row r="28">
          <cell r="F28" t="str">
            <v>TR-03272</v>
          </cell>
          <cell r="G28" t="str">
            <v xml:space="preserve">Decoupled Construction Cis Description: Failure to loop around effectively to clean up loose ends and aerial designs on fast tracked Cis. </v>
          </cell>
          <cell r="H28" t="str">
            <v xml:space="preserve">Decoupled Construction Cis </v>
          </cell>
        </row>
        <row r="29">
          <cell r="F29" t="str">
            <v>TR-03257</v>
          </cell>
          <cell r="G29" t="str">
            <v xml:space="preserve">NBN Co Description: Lack of maturity in NBNs operational systems, process and requirements drives unforseen change in our program requirements </v>
          </cell>
          <cell r="H29" t="str">
            <v xml:space="preserve">NBN Co </v>
          </cell>
        </row>
        <row r="30">
          <cell r="F30" t="str">
            <v>TR-03264</v>
          </cell>
          <cell r="G30" t="str">
            <v xml:space="preserve">Change of government Description: Change in government may drive scope change in the project </v>
          </cell>
          <cell r="H30" t="str">
            <v xml:space="preserve">Change of government </v>
          </cell>
        </row>
        <row r="31">
          <cell r="F31" t="str">
            <v>TR-03266</v>
          </cell>
          <cell r="G31" t="str">
            <v xml:space="preserve">Aerial Design Resources Description: Inability to engage sufficient number of Lvl 3 qualified aerial designers </v>
          </cell>
          <cell r="H31" t="str">
            <v xml:space="preserve">Aerial Design Resources </v>
          </cell>
        </row>
        <row r="32">
          <cell r="F32" t="str">
            <v>TR-03295</v>
          </cell>
          <cell r="G32" t="str">
            <v xml:space="preserve">Self Performance Resource Availability Description: Inability to secure skilled direct workforce </v>
          </cell>
          <cell r="H32" t="str">
            <v xml:space="preserve">Self Performance Resource Availability </v>
          </cell>
        </row>
        <row r="33">
          <cell r="F33" t="str">
            <v>TR-03292</v>
          </cell>
          <cell r="G33" t="str">
            <v xml:space="preserve">Non-systematic escalation Description: Non systematic escalation of any number of project inputs due to the high volume of work being conducted nationally </v>
          </cell>
          <cell r="H33" t="str">
            <v xml:space="preserve">Non-systematic escalation </v>
          </cell>
        </row>
        <row r="34">
          <cell r="F34" t="str">
            <v>TR-03289</v>
          </cell>
          <cell r="G34" t="str">
            <v xml:space="preserve">Rate of volume increase Description: Inability to maintain safety, environmental and quality standards during period of extreme volume ramp up </v>
          </cell>
          <cell r="H34" t="str">
            <v xml:space="preserve">Rate of volume increase </v>
          </cell>
        </row>
        <row r="35">
          <cell r="F35" t="str">
            <v>TR-03254</v>
          </cell>
          <cell r="G35" t="str">
            <v xml:space="preserve">Insolvency Description: Insolvency of material supplier, subcontractor or design consultant. </v>
          </cell>
          <cell r="H35" t="str">
            <v xml:space="preserve">Insolvency </v>
          </cell>
        </row>
        <row r="36">
          <cell r="F36" t="str">
            <v>TR-03273</v>
          </cell>
          <cell r="G36" t="str">
            <v xml:space="preserve">Design Changes Description: Late design changes </v>
          </cell>
          <cell r="H36" t="str">
            <v xml:space="preserve">Design Changes </v>
          </cell>
        </row>
        <row r="37">
          <cell r="F37" t="str">
            <v>TR-03274</v>
          </cell>
          <cell r="G37" t="str">
            <v xml:space="preserve">Design Resources Description: Inability to engage sufficient quality design resources </v>
          </cell>
          <cell r="H37" t="str">
            <v xml:space="preserve">Design Resources </v>
          </cell>
        </row>
        <row r="38">
          <cell r="F38" t="str">
            <v>TR-03279</v>
          </cell>
          <cell r="G38" t="str">
            <v xml:space="preserve">Site specific environmental requirements Description: Non compliance with site specific environmental requirements </v>
          </cell>
          <cell r="H38" t="str">
            <v xml:space="preserve">Site specific environmental requirements </v>
          </cell>
        </row>
        <row r="39">
          <cell r="F39" t="str">
            <v>TR-03286</v>
          </cell>
          <cell r="G39" t="str">
            <v xml:space="preserve">Telstra Lockout Description: Insufficient reporting from Telstra during the lockout period does not allow us to plan sufficiently for delay or acceleration on the part of Telstra. </v>
          </cell>
          <cell r="H39" t="str">
            <v xml:space="preserve">Telstra Lockout </v>
          </cell>
        </row>
        <row r="40">
          <cell r="F40" t="str">
            <v>TR-03290</v>
          </cell>
          <cell r="G40" t="str">
            <v xml:space="preserve">Recruitment of Competent Resources Description: Inability to attract competent professionals and provide hiring managers with high calibre applicants for interviewing. </v>
          </cell>
          <cell r="H40" t="str">
            <v xml:space="preserve">Recruitment of Competent Resources </v>
          </cell>
        </row>
        <row r="41">
          <cell r="F41" t="str">
            <v>TR-03255</v>
          </cell>
          <cell r="G41" t="str">
            <v xml:space="preserve">Land Access - 2 Description: Failure to communicate Land Access/planning information to scopers, designers and field staff resulting in rework due to poorly placed cabinets, poorly routed works or regulatory non-compliance </v>
          </cell>
          <cell r="H41" t="str">
            <v xml:space="preserve">Land Access - 2 </v>
          </cell>
        </row>
        <row r="42">
          <cell r="F42" t="str">
            <v>TR-03265</v>
          </cell>
          <cell r="G42" t="str">
            <v xml:space="preserve">Aerial Access Agreements Description: Delay to aerial design and construction due to relationship with the electrical authorities. </v>
          </cell>
          <cell r="H42" t="str">
            <v xml:space="preserve">Aerial Access Agreements </v>
          </cell>
        </row>
        <row r="43">
          <cell r="F43" t="str">
            <v>TR-03268</v>
          </cell>
          <cell r="G43" t="str">
            <v xml:space="preserve">Constructability of Design Description: Designs may not reflect best practice construction methods </v>
          </cell>
          <cell r="H43" t="str">
            <v xml:space="preserve">Constructability of Design </v>
          </cell>
        </row>
        <row r="44">
          <cell r="F44" t="str">
            <v>TR-03258</v>
          </cell>
          <cell r="G44" t="str">
            <v xml:space="preserve">NBN IT Systems Description: Failure by NBN to deliver their IT Roadmap. </v>
          </cell>
          <cell r="H44" t="str">
            <v xml:space="preserve">NBN IT Systems </v>
          </cell>
        </row>
        <row r="45">
          <cell r="F45" t="str">
            <v>TR-03267</v>
          </cell>
          <cell r="G45" t="str">
            <v xml:space="preserve">ArcGIS Downtime Description: Downtime of ArcGIS on the Amazon server </v>
          </cell>
          <cell r="H45" t="str">
            <v xml:space="preserve">ArcGIS Downtime </v>
          </cell>
        </row>
        <row r="46">
          <cell r="F46" t="str">
            <v>TR-03261</v>
          </cell>
          <cell r="G46" t="str">
            <v xml:space="preserve">Mobile Device Security Description: Data security of mobile devices that are holding increasing more information. </v>
          </cell>
          <cell r="H46" t="str">
            <v xml:space="preserve">Mobile Device Security </v>
          </cell>
        </row>
        <row r="47">
          <cell r="F47" t="str">
            <v>TR-03269</v>
          </cell>
          <cell r="G47" t="str">
            <v xml:space="preserve">Drillers mud spill Description: Spill of drillers mud at site or during transportation </v>
          </cell>
          <cell r="H47" t="str">
            <v xml:space="preserve">Drillers mud spill </v>
          </cell>
        </row>
        <row r="48">
          <cell r="F48" t="str">
            <v>TR-03278</v>
          </cell>
          <cell r="G48" t="str">
            <v xml:space="preserve">Silcar Comms Secondments Description: Silcar Comms not delivering promised seconded resources or removing seconded resources </v>
          </cell>
          <cell r="H48" t="str">
            <v xml:space="preserve">Silcar Comms Secondments </v>
          </cell>
        </row>
        <row r="49">
          <cell r="F49" t="str">
            <v>TR-03291</v>
          </cell>
          <cell r="G49" t="str">
            <v xml:space="preserve">NBN Program Delivery Incentive Payment Description: A incentive payment scheme based on a target premises past quota has been agreed with NBN. </v>
          </cell>
          <cell r="H49" t="str">
            <v xml:space="preserve">NBN Program Delivery Incentive Payment </v>
          </cell>
        </row>
        <row r="50">
          <cell r="F50" t="str">
            <v>TR-03260</v>
          </cell>
          <cell r="G50" t="str">
            <v xml:space="preserve">Long Service Leave Description: The JV is potentially required to make a Q-Leave and NSW Portable Long Service leave contribution. </v>
          </cell>
          <cell r="H50" t="str">
            <v xml:space="preserve">Long Service Leave </v>
          </cell>
        </row>
        <row r="51">
          <cell r="F51" t="str">
            <v>TR-03277</v>
          </cell>
          <cell r="G51" t="str">
            <v xml:space="preserve">Telstra Description: - Late changes in remediation plans invalidating Telstra LAANs - Legal issues relating to us issuing LAANs on Telstra's behalf - Causing a delay to Telstra due to inadequate LAANs that we issue on their behalf. </v>
          </cell>
          <cell r="H51" t="str">
            <v xml:space="preserve">Telstra </v>
          </cell>
        </row>
        <row r="52">
          <cell r="F52" t="str">
            <v>TR-03251</v>
          </cell>
          <cell r="G52" t="str">
            <v xml:space="preserve">Land Access - 1 Description: Failure in the land access process </v>
          </cell>
          <cell r="H52" t="str">
            <v xml:space="preserve">Land Access - 1 </v>
          </cell>
        </row>
        <row r="53">
          <cell r="F53" t="str">
            <v>TR-03297</v>
          </cell>
          <cell r="G53" t="str">
            <v xml:space="preserve">Signal Loss Description: Failure to meet signal loss requirements resulting in technical breach at completion. </v>
          </cell>
          <cell r="H53" t="str">
            <v xml:space="preserve">Signal Loss </v>
          </cell>
        </row>
        <row r="54">
          <cell r="F54" t="str">
            <v>TR-03285</v>
          </cell>
          <cell r="G54" t="str">
            <v xml:space="preserve">Telstra Christmas Embargo Description: Inability to perform all planned works during the end of year Telstra Embargo </v>
          </cell>
          <cell r="H54" t="str">
            <v xml:space="preserve">Telstra Christmas Embargo </v>
          </cell>
        </row>
        <row r="55">
          <cell r="F55" t="str">
            <v>TR-03282</v>
          </cell>
          <cell r="G55" t="str">
            <v xml:space="preserve">Term extension Description: Contract extension </v>
          </cell>
          <cell r="H55" t="str">
            <v xml:space="preserve">Term extension </v>
          </cell>
        </row>
        <row r="56">
          <cell r="F56" t="str">
            <v>TR-03280</v>
          </cell>
          <cell r="G56" t="str">
            <v xml:space="preserve">SpatialNET Description: Failure of SpatialNET to meet the requirements promised by the NBN roadmap or delayed implementation of the roadmap. NBN witholding functionality of SpatialNET. </v>
          </cell>
          <cell r="H56" t="str">
            <v xml:space="preserve">SpatialNET </v>
          </cell>
        </row>
      </sheetData>
      <sheetData sheetId="12"/>
      <sheetData sheetId="13"/>
      <sheetData sheetId="14">
        <row r="3">
          <cell r="A3" t="str">
            <v>Row Labels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Rpts"/>
      <sheetName val="Forms"/>
      <sheetName val="Validation Tables"/>
      <sheetName val="Notes"/>
      <sheetName val="Flex-Sep"/>
      <sheetName val="Flex-July1"/>
      <sheetName val="Flex-Sep2"/>
      <sheetName val="Flex-Dec2"/>
      <sheetName val="Flex-Mar2"/>
      <sheetName val="Flex-Jun2"/>
      <sheetName val="NWJuly1"/>
      <sheetName val="Flex-Mar"/>
      <sheetName val="NWMar"/>
      <sheetName val="Flex-Dec"/>
      <sheetName val="NWDec"/>
      <sheetName val="Flex-Jun"/>
      <sheetName val="NWJun"/>
      <sheetName val="NWSep"/>
      <sheetName val="Desal O&amp;M JV"/>
      <sheetName val="Val1"/>
      <sheetName val="Val2"/>
      <sheetName val="Val Degremont"/>
      <sheetName val="Val Aquasure"/>
      <sheetName val="ContractDebtors"/>
      <sheetName val="Cash"/>
      <sheetName val="OtherDebtors"/>
      <sheetName val="Macros"/>
      <sheetName val="Master"/>
      <sheetName val="Module6"/>
      <sheetName val="Module4"/>
      <sheetName val="Module7"/>
      <sheetName val="Module5"/>
      <sheetName val="Module1"/>
      <sheetName val="Module2"/>
      <sheetName val="Module8"/>
      <sheetName val="R&amp;O"/>
      <sheetName val="WIP"/>
      <sheetName val="NZ Journal"/>
      <sheetName val="Download_NZ"/>
      <sheetName val="Sheet3"/>
      <sheetName val="Sheet1"/>
      <sheetName val="O&amp;M Val - Annual"/>
    </sheetNames>
    <sheetDataSet>
      <sheetData sheetId="0" refreshError="1"/>
      <sheetData sheetId="1" refreshError="1"/>
      <sheetData sheetId="2">
        <row r="11">
          <cell r="B11">
            <v>1</v>
          </cell>
          <cell r="C11" t="str">
            <v>TAllwaste</v>
          </cell>
          <cell r="D11" t="str">
            <v>Allwaste</v>
          </cell>
          <cell r="E11">
            <v>0</v>
          </cell>
        </row>
        <row r="12">
          <cell r="B12">
            <v>2</v>
          </cell>
          <cell r="C12" t="str">
            <v>TGarrettsNorth</v>
          </cell>
          <cell r="D12" t="str">
            <v>GarrettsNorth</v>
          </cell>
        </row>
        <row r="13">
          <cell r="B13">
            <v>3</v>
          </cell>
          <cell r="C13" t="str">
            <v>TGarrettsSouth</v>
          </cell>
          <cell r="D13" t="str">
            <v>GarrettsSouth</v>
          </cell>
        </row>
        <row r="14">
          <cell r="B14">
            <v>4</v>
          </cell>
          <cell r="C14" t="str">
            <v>TSEWL</v>
          </cell>
          <cell r="D14" t="str">
            <v>SEWL</v>
          </cell>
        </row>
        <row r="15">
          <cell r="B15">
            <v>5</v>
          </cell>
          <cell r="C15" t="str">
            <v>TMW</v>
          </cell>
          <cell r="D15" t="str">
            <v>MW</v>
          </cell>
        </row>
        <row r="16">
          <cell r="B16">
            <v>6</v>
          </cell>
          <cell r="C16" t="str">
            <v>TMtceSJ</v>
          </cell>
          <cell r="D16" t="str">
            <v>MtceSJ</v>
          </cell>
        </row>
        <row r="17">
          <cell r="B17">
            <v>7</v>
          </cell>
          <cell r="C17" t="str">
            <v>Thydro</v>
          </cell>
          <cell r="D17" t="str">
            <v>Hydro</v>
          </cell>
        </row>
        <row r="18">
          <cell r="B18">
            <v>8</v>
          </cell>
          <cell r="C18" t="str">
            <v>TMultinet</v>
          </cell>
          <cell r="D18" t="str">
            <v>Multinet</v>
          </cell>
        </row>
        <row r="19">
          <cell r="B19">
            <v>9</v>
          </cell>
          <cell r="C19" t="str">
            <v>TUEMoorbn</v>
          </cell>
        </row>
        <row r="20">
          <cell r="B20">
            <v>10</v>
          </cell>
          <cell r="C20" t="str">
            <v>TUEMorn</v>
          </cell>
        </row>
        <row r="21">
          <cell r="B21">
            <v>11</v>
          </cell>
          <cell r="C21" t="str">
            <v>TUEOHDS</v>
          </cell>
        </row>
        <row r="22">
          <cell r="B22">
            <v>12</v>
          </cell>
          <cell r="C22" t="str">
            <v>TWACorp</v>
          </cell>
          <cell r="D22" t="str">
            <v>WA Water Corp</v>
          </cell>
        </row>
        <row r="23">
          <cell r="B23">
            <v>13</v>
          </cell>
          <cell r="C23" t="str">
            <v>TRemediation</v>
          </cell>
          <cell r="D23" t="str">
            <v>Remediation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0">
          <cell r="B10" t="str">
            <v>REMEDIATION</v>
          </cell>
          <cell r="D10">
            <v>27785</v>
          </cell>
          <cell r="E10">
            <v>1570</v>
          </cell>
          <cell r="G10">
            <v>3739</v>
          </cell>
          <cell r="H10">
            <v>272</v>
          </cell>
          <cell r="J10">
            <v>5837</v>
          </cell>
          <cell r="K10">
            <v>1019</v>
          </cell>
          <cell r="L10">
            <v>216</v>
          </cell>
          <cell r="M10">
            <v>30</v>
          </cell>
          <cell r="N10">
            <v>275</v>
          </cell>
          <cell r="O10">
            <v>42</v>
          </cell>
          <cell r="P10">
            <v>275</v>
          </cell>
          <cell r="Q10">
            <v>45</v>
          </cell>
          <cell r="R10">
            <v>766</v>
          </cell>
          <cell r="S10">
            <v>117</v>
          </cell>
          <cell r="T10">
            <v>671</v>
          </cell>
          <cell r="U10">
            <v>118</v>
          </cell>
          <cell r="V10">
            <v>1436</v>
          </cell>
          <cell r="W10">
            <v>235</v>
          </cell>
          <cell r="X10">
            <v>4002</v>
          </cell>
          <cell r="Y10">
            <v>865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2781</v>
          </cell>
          <cell r="AQ10">
            <v>660</v>
          </cell>
          <cell r="AR10">
            <v>3056</v>
          </cell>
          <cell r="AS10">
            <v>702</v>
          </cell>
          <cell r="AT10">
            <v>3331</v>
          </cell>
          <cell r="AU10">
            <v>747</v>
          </cell>
          <cell r="AV10">
            <v>4002</v>
          </cell>
          <cell r="AW10">
            <v>865</v>
          </cell>
        </row>
        <row r="11">
          <cell r="B11" t="str">
            <v>UTILITIES</v>
          </cell>
          <cell r="D11">
            <v>835458</v>
          </cell>
          <cell r="E11">
            <v>439309</v>
          </cell>
          <cell r="G11">
            <v>54989</v>
          </cell>
          <cell r="H11">
            <v>25542</v>
          </cell>
          <cell r="J11">
            <v>86950</v>
          </cell>
          <cell r="K11">
            <v>4785</v>
          </cell>
          <cell r="L11">
            <v>13259</v>
          </cell>
          <cell r="M11">
            <v>589</v>
          </cell>
          <cell r="N11">
            <v>14806</v>
          </cell>
          <cell r="O11">
            <v>882</v>
          </cell>
          <cell r="P11">
            <v>15051</v>
          </cell>
          <cell r="Q11">
            <v>1010</v>
          </cell>
          <cell r="R11">
            <v>43116</v>
          </cell>
          <cell r="S11">
            <v>2480</v>
          </cell>
          <cell r="T11">
            <v>34785</v>
          </cell>
          <cell r="U11">
            <v>1906</v>
          </cell>
          <cell r="V11">
            <v>77901</v>
          </cell>
          <cell r="W11">
            <v>4386</v>
          </cell>
          <cell r="X11">
            <v>160036</v>
          </cell>
          <cell r="Y11">
            <v>8814</v>
          </cell>
          <cell r="Z11">
            <v>74029</v>
          </cell>
          <cell r="AA11">
            <v>3712</v>
          </cell>
          <cell r="AB11">
            <v>49761</v>
          </cell>
          <cell r="AC11">
            <v>2827</v>
          </cell>
          <cell r="AD11">
            <v>123790</v>
          </cell>
          <cell r="AE11">
            <v>6539</v>
          </cell>
          <cell r="AL11">
            <v>236461</v>
          </cell>
          <cell r="AM11">
            <v>14235</v>
          </cell>
          <cell r="AN11">
            <v>0</v>
          </cell>
          <cell r="AO11">
            <v>0</v>
          </cell>
          <cell r="AP11">
            <v>95394</v>
          </cell>
          <cell r="AQ11">
            <v>5017</v>
          </cell>
          <cell r="AR11">
            <v>110200</v>
          </cell>
          <cell r="AS11">
            <v>5899</v>
          </cell>
          <cell r="AT11">
            <v>125251</v>
          </cell>
          <cell r="AU11">
            <v>6909</v>
          </cell>
          <cell r="AV11">
            <v>160036</v>
          </cell>
          <cell r="AW11">
            <v>8814</v>
          </cell>
        </row>
        <row r="12">
          <cell r="B12" t="str">
            <v>TELECOMMUNICATIONS</v>
          </cell>
          <cell r="D12">
            <v>0</v>
          </cell>
          <cell r="E12">
            <v>0</v>
          </cell>
          <cell r="G12">
            <v>0</v>
          </cell>
          <cell r="H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B13" t="str">
            <v>TOTAL EXTERNAL</v>
          </cell>
          <cell r="D13">
            <v>1125181</v>
          </cell>
          <cell r="E13">
            <v>581503</v>
          </cell>
          <cell r="G13">
            <v>78616</v>
          </cell>
          <cell r="H13">
            <v>36533</v>
          </cell>
          <cell r="J13">
            <v>111642</v>
          </cell>
          <cell r="K13">
            <v>6327</v>
          </cell>
          <cell r="L13">
            <v>16784</v>
          </cell>
          <cell r="M13">
            <v>737</v>
          </cell>
          <cell r="N13">
            <v>18091</v>
          </cell>
          <cell r="O13">
            <v>1005</v>
          </cell>
          <cell r="P13">
            <v>18483</v>
          </cell>
          <cell r="Q13">
            <v>1155</v>
          </cell>
          <cell r="R13">
            <v>53359</v>
          </cell>
          <cell r="S13">
            <v>2896</v>
          </cell>
          <cell r="T13">
            <v>45240</v>
          </cell>
          <cell r="U13">
            <v>2362</v>
          </cell>
          <cell r="V13">
            <v>98598</v>
          </cell>
          <cell r="W13">
            <v>5258</v>
          </cell>
          <cell r="X13">
            <v>202154</v>
          </cell>
          <cell r="Y13">
            <v>10839</v>
          </cell>
          <cell r="Z13">
            <v>96323</v>
          </cell>
          <cell r="AA13">
            <v>4560</v>
          </cell>
          <cell r="AB13">
            <v>70727</v>
          </cell>
          <cell r="AC13">
            <v>3533</v>
          </cell>
          <cell r="AD13">
            <v>167050</v>
          </cell>
          <cell r="AE13">
            <v>8093</v>
          </cell>
          <cell r="AL13">
            <v>314563</v>
          </cell>
          <cell r="AM13">
            <v>22763</v>
          </cell>
          <cell r="AN13">
            <v>0</v>
          </cell>
          <cell r="AO13">
            <v>0</v>
          </cell>
          <cell r="AP13">
            <v>120339</v>
          </cell>
          <cell r="AQ13">
            <v>6318</v>
          </cell>
          <cell r="AR13">
            <v>138431</v>
          </cell>
          <cell r="AS13">
            <v>7323</v>
          </cell>
          <cell r="AT13">
            <v>156914</v>
          </cell>
          <cell r="AU13">
            <v>8478</v>
          </cell>
          <cell r="AV13">
            <v>202154</v>
          </cell>
          <cell r="AW13">
            <v>10839</v>
          </cell>
        </row>
        <row r="14">
          <cell r="B14" t="str">
            <v>039092</v>
          </cell>
          <cell r="C14" t="str">
            <v>PLANT OPERATING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5</v>
          </cell>
          <cell r="I14">
            <v>0</v>
          </cell>
          <cell r="J14">
            <v>0</v>
          </cell>
          <cell r="K14">
            <v>-4.7896200000000002</v>
          </cell>
          <cell r="R14">
            <v>0</v>
          </cell>
          <cell r="S14">
            <v>0</v>
          </cell>
          <cell r="U14">
            <v>4.7896200000000002</v>
          </cell>
          <cell r="V14">
            <v>0</v>
          </cell>
          <cell r="W14">
            <v>4.7896200000000002</v>
          </cell>
          <cell r="X14">
            <v>0</v>
          </cell>
          <cell r="Y14">
            <v>0</v>
          </cell>
          <cell r="AD14">
            <v>0</v>
          </cell>
          <cell r="AE14">
            <v>0</v>
          </cell>
          <cell r="AL14">
            <v>0</v>
          </cell>
          <cell r="AM14">
            <v>0.21037999999999979</v>
          </cell>
          <cell r="AN14">
            <v>0</v>
          </cell>
          <cell r="AO14">
            <v>0</v>
          </cell>
          <cell r="AP14">
            <v>0</v>
          </cell>
          <cell r="AQ14">
            <v>-4.7896200000000002</v>
          </cell>
          <cell r="AR14">
            <v>0</v>
          </cell>
          <cell r="AS14">
            <v>-4.7896200000000002</v>
          </cell>
          <cell r="AT14">
            <v>0</v>
          </cell>
          <cell r="AU14">
            <v>-4.7896200000000002</v>
          </cell>
          <cell r="AV14">
            <v>0</v>
          </cell>
          <cell r="AW14">
            <v>0</v>
          </cell>
        </row>
        <row r="15">
          <cell r="B15" t="str">
            <v xml:space="preserve"> IDLE PLANT </v>
          </cell>
          <cell r="E15">
            <v>0</v>
          </cell>
          <cell r="H15">
            <v>0</v>
          </cell>
          <cell r="J15">
            <v>0</v>
          </cell>
          <cell r="K15">
            <v>0</v>
          </cell>
          <cell r="R15">
            <v>0</v>
          </cell>
          <cell r="S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AD15">
            <v>0</v>
          </cell>
          <cell r="AE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</row>
        <row r="16"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</row>
        <row r="17">
          <cell r="B17" t="str">
            <v>INTERNAL CONTRACTS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</row>
        <row r="19">
          <cell r="B19" t="str">
            <v>TOTAL INTERNAL</v>
          </cell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</row>
        <row r="20">
          <cell r="B20" t="str">
            <v>TOTAL COMMITTED CONTRACTS</v>
          </cell>
          <cell r="D20">
            <v>1125181</v>
          </cell>
          <cell r="E20">
            <v>581503</v>
          </cell>
          <cell r="G20">
            <v>78616</v>
          </cell>
          <cell r="H20">
            <v>36538</v>
          </cell>
          <cell r="J20">
            <v>111642</v>
          </cell>
          <cell r="K20">
            <v>6322.2103800000004</v>
          </cell>
          <cell r="L20">
            <v>16784</v>
          </cell>
          <cell r="M20">
            <v>737</v>
          </cell>
          <cell r="N20">
            <v>18091</v>
          </cell>
          <cell r="O20">
            <v>1005</v>
          </cell>
          <cell r="P20">
            <v>18483</v>
          </cell>
          <cell r="Q20">
            <v>1155</v>
          </cell>
          <cell r="R20">
            <v>53359</v>
          </cell>
          <cell r="S20">
            <v>2896</v>
          </cell>
          <cell r="T20">
            <v>45240</v>
          </cell>
          <cell r="U20">
            <v>2366.78962</v>
          </cell>
          <cell r="V20">
            <v>98598</v>
          </cell>
          <cell r="W20">
            <v>5262.7896199999996</v>
          </cell>
          <cell r="X20">
            <v>202154</v>
          </cell>
          <cell r="Y20">
            <v>10839</v>
          </cell>
          <cell r="Z20">
            <v>96323</v>
          </cell>
          <cell r="AA20">
            <v>4560</v>
          </cell>
          <cell r="AB20">
            <v>70727</v>
          </cell>
          <cell r="AC20">
            <v>3533</v>
          </cell>
          <cell r="AD20">
            <v>167050</v>
          </cell>
          <cell r="AE20">
            <v>8093</v>
          </cell>
          <cell r="AL20">
            <v>314563</v>
          </cell>
          <cell r="AM20">
            <v>22763.21038</v>
          </cell>
          <cell r="AN20">
            <v>0</v>
          </cell>
          <cell r="AO20">
            <v>0</v>
          </cell>
          <cell r="AP20">
            <v>120339</v>
          </cell>
          <cell r="AQ20">
            <v>6313.2103800000004</v>
          </cell>
          <cell r="AR20">
            <v>138431</v>
          </cell>
          <cell r="AS20">
            <v>7318.2103800000004</v>
          </cell>
          <cell r="AT20">
            <v>156914</v>
          </cell>
          <cell r="AU20">
            <v>8473.2103800000004</v>
          </cell>
          <cell r="AV20">
            <v>202154</v>
          </cell>
          <cell r="AW20">
            <v>10839</v>
          </cell>
        </row>
        <row r="21">
          <cell r="B21" t="str">
            <v xml:space="preserve">NEW WORK </v>
          </cell>
        </row>
        <row r="22">
          <cell r="B22" t="str">
            <v>NWWM</v>
          </cell>
          <cell r="C22" t="str">
            <v>WASTE MANAGEMENT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1334.5480000000002</v>
          </cell>
          <cell r="AC22">
            <v>142.07600000000002</v>
          </cell>
          <cell r="AD22">
            <v>1334.5480000000002</v>
          </cell>
          <cell r="AE22">
            <v>142.07600000000002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</row>
        <row r="23">
          <cell r="B23" t="str">
            <v>NWREM</v>
          </cell>
          <cell r="C23" t="str">
            <v>REMEDIATION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1875</v>
          </cell>
          <cell r="AA23">
            <v>187.5</v>
          </cell>
          <cell r="AB23">
            <v>1875</v>
          </cell>
          <cell r="AC23">
            <v>187.5</v>
          </cell>
          <cell r="AD23">
            <v>3750</v>
          </cell>
          <cell r="AE23">
            <v>375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</row>
        <row r="24">
          <cell r="B24" t="str">
            <v>NWUT</v>
          </cell>
          <cell r="C24" t="str">
            <v>UTILITIES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16569</v>
          </cell>
          <cell r="U24">
            <v>1314.75</v>
          </cell>
          <cell r="V24">
            <v>16569</v>
          </cell>
          <cell r="W24">
            <v>1314.75</v>
          </cell>
          <cell r="X24">
            <v>16569</v>
          </cell>
          <cell r="Y24">
            <v>1314.75</v>
          </cell>
          <cell r="Z24">
            <v>35450</v>
          </cell>
          <cell r="AA24">
            <v>3065.5</v>
          </cell>
          <cell r="AB24">
            <v>61415.07</v>
          </cell>
          <cell r="AC24">
            <v>3924.7174000000005</v>
          </cell>
          <cell r="AD24">
            <v>96865.07</v>
          </cell>
          <cell r="AE24">
            <v>6990.2173999999995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16569</v>
          </cell>
          <cell r="AW24">
            <v>1314.75</v>
          </cell>
        </row>
        <row r="25">
          <cell r="B25" t="str">
            <v>NWCOM</v>
          </cell>
          <cell r="C25" t="str">
            <v>TELECOMMUNICATIONS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</row>
        <row r="26">
          <cell r="B26" t="str">
            <v>TOTAL NEW WORK</v>
          </cell>
          <cell r="D26">
            <v>0</v>
          </cell>
          <cell r="E26">
            <v>0</v>
          </cell>
          <cell r="G26">
            <v>0</v>
          </cell>
          <cell r="H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16569</v>
          </cell>
          <cell r="U26">
            <v>1314.75</v>
          </cell>
          <cell r="V26">
            <v>16569</v>
          </cell>
          <cell r="W26">
            <v>1314.75</v>
          </cell>
          <cell r="X26">
            <v>16569</v>
          </cell>
          <cell r="Y26">
            <v>1314.75</v>
          </cell>
          <cell r="Z26">
            <v>37325</v>
          </cell>
          <cell r="AA26">
            <v>3253</v>
          </cell>
          <cell r="AB26">
            <v>64624.618000000002</v>
          </cell>
          <cell r="AC26">
            <v>4254.2934000000005</v>
          </cell>
          <cell r="AD26">
            <v>101949.618</v>
          </cell>
          <cell r="AE26">
            <v>7507.2933999999996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16569</v>
          </cell>
          <cell r="AW26">
            <v>1314.75</v>
          </cell>
        </row>
        <row r="27">
          <cell r="B27" t="str">
            <v>OPERATING RESULT</v>
          </cell>
          <cell r="D27">
            <v>1125181</v>
          </cell>
          <cell r="E27">
            <v>581503</v>
          </cell>
          <cell r="G27">
            <v>78616</v>
          </cell>
          <cell r="H27">
            <v>36538</v>
          </cell>
          <cell r="J27">
            <v>111642</v>
          </cell>
          <cell r="K27">
            <v>6322.2103800000004</v>
          </cell>
          <cell r="L27">
            <v>16784</v>
          </cell>
          <cell r="M27">
            <v>737</v>
          </cell>
          <cell r="N27">
            <v>18091</v>
          </cell>
          <cell r="O27">
            <v>1005</v>
          </cell>
          <cell r="P27">
            <v>18483</v>
          </cell>
          <cell r="Q27">
            <v>1155</v>
          </cell>
          <cell r="R27">
            <v>53359</v>
          </cell>
          <cell r="S27">
            <v>2896</v>
          </cell>
          <cell r="T27">
            <v>61809</v>
          </cell>
          <cell r="U27">
            <v>3681.53962</v>
          </cell>
          <cell r="V27">
            <v>115167</v>
          </cell>
          <cell r="W27">
            <v>6577.5396199999996</v>
          </cell>
          <cell r="X27">
            <v>218723</v>
          </cell>
          <cell r="Y27">
            <v>12153.75</v>
          </cell>
          <cell r="Z27">
            <v>133648</v>
          </cell>
          <cell r="AA27">
            <v>7813</v>
          </cell>
          <cell r="AB27">
            <v>135351.61800000002</v>
          </cell>
          <cell r="AC27">
            <v>7787.2934000000005</v>
          </cell>
          <cell r="AD27">
            <v>268999.61800000002</v>
          </cell>
          <cell r="AE27">
            <v>15600.293399999999</v>
          </cell>
          <cell r="AL27">
            <v>314563</v>
          </cell>
          <cell r="AM27">
            <v>22763.21038</v>
          </cell>
          <cell r="AN27">
            <v>0</v>
          </cell>
          <cell r="AO27">
            <v>0</v>
          </cell>
          <cell r="AP27">
            <v>120339</v>
          </cell>
          <cell r="AQ27">
            <v>6313.2103800000004</v>
          </cell>
          <cell r="AR27">
            <v>138431</v>
          </cell>
          <cell r="AS27">
            <v>7318.2103800000004</v>
          </cell>
          <cell r="AT27">
            <v>156914</v>
          </cell>
          <cell r="AU27">
            <v>8473.2103800000004</v>
          </cell>
          <cell r="AV27">
            <v>218723</v>
          </cell>
          <cell r="AW27">
            <v>12153.75</v>
          </cell>
        </row>
        <row r="28">
          <cell r="B28" t="str">
            <v>039090</v>
          </cell>
          <cell r="C28" t="str">
            <v>AREA OVERHEADS</v>
          </cell>
          <cell r="D28">
            <v>0</v>
          </cell>
          <cell r="E28">
            <v>0</v>
          </cell>
          <cell r="F28">
            <v>0.2151359779316962</v>
          </cell>
          <cell r="G28">
            <v>-6670.2</v>
          </cell>
          <cell r="H28">
            <v>-5235.2</v>
          </cell>
          <cell r="I28">
            <v>-1</v>
          </cell>
          <cell r="J28">
            <v>0</v>
          </cell>
          <cell r="K28">
            <v>-1435.0743299999999</v>
          </cell>
          <cell r="M28">
            <v>-270</v>
          </cell>
          <cell r="O28">
            <v>-270</v>
          </cell>
          <cell r="Q28">
            <v>-270</v>
          </cell>
          <cell r="R28">
            <v>0</v>
          </cell>
          <cell r="S28">
            <v>-810</v>
          </cell>
          <cell r="U28">
            <v>-825</v>
          </cell>
          <cell r="V28">
            <v>0</v>
          </cell>
          <cell r="W28">
            <v>-1635</v>
          </cell>
          <cell r="X28">
            <v>0</v>
          </cell>
          <cell r="Y28">
            <v>-3070.0743299999999</v>
          </cell>
          <cell r="AA28">
            <v>-1800</v>
          </cell>
          <cell r="AC28">
            <v>-1800</v>
          </cell>
          <cell r="AD28">
            <v>0</v>
          </cell>
          <cell r="AE28">
            <v>-3600</v>
          </cell>
          <cell r="AL28">
            <v>0</v>
          </cell>
          <cell r="AM28">
            <v>-0.1999999999998181</v>
          </cell>
          <cell r="AN28">
            <v>0</v>
          </cell>
          <cell r="AO28">
            <v>0</v>
          </cell>
          <cell r="AP28">
            <v>0</v>
          </cell>
          <cell r="AQ28">
            <v>-1705.0743299999999</v>
          </cell>
          <cell r="AR28">
            <v>0</v>
          </cell>
          <cell r="AS28">
            <v>-1975.0743299999999</v>
          </cell>
          <cell r="AT28">
            <v>0</v>
          </cell>
          <cell r="AU28">
            <v>-2245.0743299999999</v>
          </cell>
          <cell r="AV28">
            <v>0</v>
          </cell>
          <cell r="AW28">
            <v>-3070.0743299999999</v>
          </cell>
        </row>
        <row r="29">
          <cell r="B29">
            <v>39098</v>
          </cell>
          <cell r="C29" t="str">
            <v>TENDERS - VIC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R29">
            <v>0</v>
          </cell>
          <cell r="S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AD29">
            <v>0</v>
          </cell>
          <cell r="AE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</row>
        <row r="30">
          <cell r="B30" t="str">
            <v>039100</v>
          </cell>
          <cell r="C30" t="str">
            <v>EXCESS PROVISIONS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R30">
            <v>0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AD30">
            <v>0</v>
          </cell>
          <cell r="AE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</row>
        <row r="31">
          <cell r="B31" t="str">
            <v>039099</v>
          </cell>
          <cell r="C31" t="str">
            <v>PROVISION FOR MAINTENANCE</v>
          </cell>
          <cell r="D31">
            <v>0</v>
          </cell>
          <cell r="E31">
            <v>0</v>
          </cell>
          <cell r="F31">
            <v>1</v>
          </cell>
          <cell r="G31">
            <v>-150</v>
          </cell>
          <cell r="H31">
            <v>0</v>
          </cell>
          <cell r="I31">
            <v>-1</v>
          </cell>
          <cell r="J31">
            <v>0</v>
          </cell>
          <cell r="K31">
            <v>-150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-150</v>
          </cell>
          <cell r="AD31">
            <v>0</v>
          </cell>
          <cell r="AE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-150</v>
          </cell>
          <cell r="AR31">
            <v>0</v>
          </cell>
          <cell r="AS31">
            <v>-150</v>
          </cell>
          <cell r="AT31">
            <v>0</v>
          </cell>
          <cell r="AU31">
            <v>-150</v>
          </cell>
          <cell r="AV31">
            <v>0</v>
          </cell>
          <cell r="AW31">
            <v>-150</v>
          </cell>
        </row>
        <row r="32">
          <cell r="B32" t="str">
            <v>NET REVENUE/PROFIT</v>
          </cell>
          <cell r="D32">
            <v>1125181</v>
          </cell>
          <cell r="E32">
            <v>581503</v>
          </cell>
          <cell r="G32">
            <v>71795.8</v>
          </cell>
          <cell r="H32">
            <v>31302.799999999999</v>
          </cell>
          <cell r="J32">
            <v>111642</v>
          </cell>
          <cell r="K32">
            <v>4737.136050000001</v>
          </cell>
          <cell r="L32">
            <v>16784</v>
          </cell>
          <cell r="M32">
            <v>467</v>
          </cell>
          <cell r="N32">
            <v>18091</v>
          </cell>
          <cell r="O32">
            <v>735</v>
          </cell>
          <cell r="P32">
            <v>18483</v>
          </cell>
          <cell r="Q32">
            <v>885</v>
          </cell>
          <cell r="R32">
            <v>53359</v>
          </cell>
          <cell r="S32">
            <v>2086</v>
          </cell>
          <cell r="T32">
            <v>61809</v>
          </cell>
          <cell r="U32">
            <v>2856.53962</v>
          </cell>
          <cell r="V32">
            <v>115167</v>
          </cell>
          <cell r="W32">
            <v>4942.5396199999996</v>
          </cell>
          <cell r="X32">
            <v>218723</v>
          </cell>
          <cell r="Y32">
            <v>8933.6756700000005</v>
          </cell>
          <cell r="Z32">
            <v>133648</v>
          </cell>
          <cell r="AA32">
            <v>6013</v>
          </cell>
          <cell r="AB32">
            <v>135351.61800000002</v>
          </cell>
          <cell r="AC32">
            <v>5987.2934000000005</v>
          </cell>
          <cell r="AD32">
            <v>268999.61800000002</v>
          </cell>
          <cell r="AE32">
            <v>12000.293399999999</v>
          </cell>
          <cell r="AL32">
            <v>314563</v>
          </cell>
          <cell r="AM32">
            <v>22763.01038</v>
          </cell>
          <cell r="AN32">
            <v>0</v>
          </cell>
          <cell r="AO32">
            <v>0</v>
          </cell>
          <cell r="AP32">
            <v>120339</v>
          </cell>
          <cell r="AQ32">
            <v>4458.136050000001</v>
          </cell>
          <cell r="AR32">
            <v>138431</v>
          </cell>
          <cell r="AS32">
            <v>5193.136050000001</v>
          </cell>
          <cell r="AT32">
            <v>156914</v>
          </cell>
          <cell r="AU32">
            <v>6078.136050000001</v>
          </cell>
          <cell r="AV32">
            <v>218723</v>
          </cell>
          <cell r="AW32">
            <v>8933.6756700000005</v>
          </cell>
        </row>
        <row r="34">
          <cell r="B34" t="str">
            <v>R &amp; D CREDIT</v>
          </cell>
        </row>
        <row r="35">
          <cell r="B35" t="str">
            <v>POSITION INCLUDING R&amp;D CREDIT</v>
          </cell>
        </row>
        <row r="37">
          <cell r="B37" t="str">
            <v>WASTE MANAGEMENT</v>
          </cell>
        </row>
        <row r="38">
          <cell r="B38" t="str">
            <v>MELBOURNE C &amp; R</v>
          </cell>
        </row>
        <row r="39">
          <cell r="B39" t="str">
            <v>032035</v>
          </cell>
          <cell r="C39" t="str">
            <v>MELBOURNE BULKLIFT</v>
          </cell>
          <cell r="D39">
            <v>12308804.244901115</v>
          </cell>
          <cell r="E39">
            <v>3838675.3849011157</v>
          </cell>
          <cell r="F39">
            <v>0.69814803742572396</v>
          </cell>
          <cell r="G39">
            <v>1261402.6817039151</v>
          </cell>
          <cell r="H39">
            <v>503995.54170391511</v>
          </cell>
          <cell r="I39">
            <v>0.11418093879252959</v>
          </cell>
          <cell r="J39">
            <v>1274647.01</v>
          </cell>
          <cell r="K39">
            <v>160621.97</v>
          </cell>
          <cell r="L39">
            <v>223404.69092288881</v>
          </cell>
          <cell r="M39">
            <v>29626.359967586144</v>
          </cell>
          <cell r="N39">
            <v>203978.19606002897</v>
          </cell>
          <cell r="O39">
            <v>27137.11127475258</v>
          </cell>
          <cell r="P39">
            <v>203978.19606002897</v>
          </cell>
          <cell r="Q39">
            <v>27137.11127475258</v>
          </cell>
          <cell r="R39">
            <v>631361.08304294676</v>
          </cell>
          <cell r="S39">
            <v>83900.582517091301</v>
          </cell>
          <cell r="T39">
            <v>631361.08304294676</v>
          </cell>
          <cell r="U39">
            <v>83900.582517091272</v>
          </cell>
          <cell r="V39">
            <v>1262722.1660858935</v>
          </cell>
          <cell r="W39">
            <v>167801.16503418257</v>
          </cell>
          <cell r="X39">
            <v>2537369.1760858935</v>
          </cell>
          <cell r="Y39">
            <v>328423.13503418257</v>
          </cell>
          <cell r="Z39">
            <v>1287976.6094076114</v>
          </cell>
          <cell r="AA39">
            <v>168097.18833486622</v>
          </cell>
          <cell r="AB39">
            <v>1287976.6094076114</v>
          </cell>
          <cell r="AC39">
            <v>168097.18833486622</v>
          </cell>
          <cell r="AD39">
            <v>2575953.2188152228</v>
          </cell>
          <cell r="AE39">
            <v>336194.37666973245</v>
          </cell>
          <cell r="AF39" t="e">
            <v>#N/A</v>
          </cell>
          <cell r="AH39" t="e">
            <v>#N/A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1498051.7009228887</v>
          </cell>
          <cell r="AQ39">
            <v>190248.32996758615</v>
          </cell>
          <cell r="AR39">
            <v>1702029.8969829176</v>
          </cell>
          <cell r="AS39">
            <v>217385.44124233874</v>
          </cell>
          <cell r="AT39">
            <v>1906008.0930429464</v>
          </cell>
          <cell r="AU39">
            <v>244522.55251709133</v>
          </cell>
          <cell r="AV39">
            <v>2537369.1760858935</v>
          </cell>
          <cell r="AW39">
            <v>328423.13503418257</v>
          </cell>
        </row>
        <row r="40">
          <cell r="B40" t="str">
            <v>032045</v>
          </cell>
          <cell r="C40" t="str">
            <v>MELBOURNE TRANSFER STATION</v>
          </cell>
          <cell r="D40">
            <v>3198250.3057895857</v>
          </cell>
          <cell r="E40">
            <v>997852.28578958567</v>
          </cell>
          <cell r="F40">
            <v>0.71642014626021078</v>
          </cell>
          <cell r="G40">
            <v>1079136.6572901148</v>
          </cell>
          <cell r="H40">
            <v>396914.34729011473</v>
          </cell>
          <cell r="I40">
            <v>0.5092396333034066</v>
          </cell>
          <cell r="J40">
            <v>391062.23</v>
          </cell>
          <cell r="K40">
            <v>162908.35</v>
          </cell>
          <cell r="L40">
            <v>69779.88012514585</v>
          </cell>
          <cell r="M40">
            <v>27756.248062245799</v>
          </cell>
          <cell r="N40">
            <v>63712.064462089693</v>
          </cell>
          <cell r="O40">
            <v>25342.661274224414</v>
          </cell>
          <cell r="P40">
            <v>63712.064462089693</v>
          </cell>
          <cell r="Q40">
            <v>25342.661274224414</v>
          </cell>
          <cell r="R40">
            <v>197204.00904932525</v>
          </cell>
          <cell r="S40">
            <v>78441.570610694631</v>
          </cell>
          <cell r="T40">
            <v>197204.00904932525</v>
          </cell>
          <cell r="U40">
            <v>78441.570610694602</v>
          </cell>
          <cell r="V40">
            <v>394408.0180986505</v>
          </cell>
          <cell r="W40">
            <v>156883.14122138923</v>
          </cell>
          <cell r="X40">
            <v>785470.24809865048</v>
          </cell>
          <cell r="Y40">
            <v>319791.49122138927</v>
          </cell>
          <cell r="Z40">
            <v>402296.17846062349</v>
          </cell>
          <cell r="AA40">
            <v>160020.80404581703</v>
          </cell>
          <cell r="AB40">
            <v>201148.08923031174</v>
          </cell>
          <cell r="AC40">
            <v>80010.402022908514</v>
          </cell>
          <cell r="AD40">
            <v>603444.26769093517</v>
          </cell>
          <cell r="AE40">
            <v>240031.20606872556</v>
          </cell>
          <cell r="AF40" t="e">
            <v>#N/A</v>
          </cell>
          <cell r="AG40">
            <v>39905</v>
          </cell>
          <cell r="AH40" t="e">
            <v>#N/A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460842.11012514582</v>
          </cell>
          <cell r="AQ40">
            <v>190664.59806224582</v>
          </cell>
          <cell r="AR40">
            <v>524554.17458723555</v>
          </cell>
          <cell r="AS40">
            <v>216007.25933647022</v>
          </cell>
          <cell r="AT40">
            <v>588266.23904932523</v>
          </cell>
          <cell r="AU40">
            <v>241349.92061069462</v>
          </cell>
          <cell r="AV40">
            <v>785470.24809865048</v>
          </cell>
          <cell r="AW40">
            <v>319791.49122138927</v>
          </cell>
        </row>
        <row r="41">
          <cell r="B41" t="str">
            <v>032049</v>
          </cell>
          <cell r="C41" t="str">
            <v>MELBOURNE WORKSHOP</v>
          </cell>
          <cell r="D41">
            <v>219371.37</v>
          </cell>
          <cell r="E41">
            <v>0</v>
          </cell>
          <cell r="F41">
            <v>1</v>
          </cell>
          <cell r="G41">
            <v>-120486.85</v>
          </cell>
          <cell r="H41">
            <v>0</v>
          </cell>
          <cell r="I41">
            <v>-0.35452092346037717</v>
          </cell>
          <cell r="J41">
            <v>0</v>
          </cell>
          <cell r="K41">
            <v>0</v>
          </cell>
          <cell r="L41">
            <v>0</v>
          </cell>
          <cell r="M41">
            <v>-3.865352482534945E-12</v>
          </cell>
          <cell r="N41">
            <v>0</v>
          </cell>
          <cell r="O41">
            <v>-2.1373125491663814E-11</v>
          </cell>
          <cell r="P41">
            <v>0</v>
          </cell>
          <cell r="Q41">
            <v>-2.1373125491663814E-11</v>
          </cell>
          <cell r="R41">
            <v>0</v>
          </cell>
          <cell r="S41">
            <v>-4.6611603465862572E-11</v>
          </cell>
          <cell r="T41">
            <v>0</v>
          </cell>
          <cell r="U41">
            <v>-1.9099388737231493E-11</v>
          </cell>
          <cell r="V41">
            <v>0</v>
          </cell>
          <cell r="W41">
            <v>-6.5710992203094065E-11</v>
          </cell>
          <cell r="X41">
            <v>0</v>
          </cell>
          <cell r="Y41">
            <v>-6.5710992203094065E-11</v>
          </cell>
          <cell r="Z41">
            <v>0</v>
          </cell>
          <cell r="AA41">
            <v>-8.3143731899326671E-11</v>
          </cell>
          <cell r="AB41">
            <v>0</v>
          </cell>
          <cell r="AC41">
            <v>-8.3143731899326671E-11</v>
          </cell>
          <cell r="AD41">
            <v>0</v>
          </cell>
          <cell r="AE41">
            <v>-1.6628746379865334E-10</v>
          </cell>
          <cell r="AF41" t="e">
            <v>#N/A</v>
          </cell>
          <cell r="AH41" t="e">
            <v>#N/A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2.3199845600174741E-10</v>
          </cell>
          <cell r="AN41">
            <v>0</v>
          </cell>
          <cell r="AO41">
            <v>0</v>
          </cell>
          <cell r="AP41">
            <v>0</v>
          </cell>
          <cell r="AQ41">
            <v>-3.865352482534945E-12</v>
          </cell>
          <cell r="AR41">
            <v>0</v>
          </cell>
          <cell r="AS41">
            <v>-2.5238477974198759E-11</v>
          </cell>
          <cell r="AT41">
            <v>0</v>
          </cell>
          <cell r="AU41">
            <v>-4.6611603465862572E-11</v>
          </cell>
          <cell r="AV41">
            <v>0</v>
          </cell>
          <cell r="AW41">
            <v>-6.5710992203094065E-11</v>
          </cell>
        </row>
        <row r="42">
          <cell r="B42" t="str">
            <v>032701</v>
          </cell>
          <cell r="C42" t="str">
            <v>WHITEHORSE DOMESTIC</v>
          </cell>
          <cell r="D42">
            <v>13242599.966995729</v>
          </cell>
          <cell r="E42">
            <v>2060827.3969957288</v>
          </cell>
          <cell r="F42">
            <v>0.84121576500376627</v>
          </cell>
          <cell r="G42">
            <v>994234.69776676991</v>
          </cell>
          <cell r="H42">
            <v>115980.08776676981</v>
          </cell>
          <cell r="I42">
            <v>8.1172848450604504E-2</v>
          </cell>
          <cell r="J42">
            <v>1021944.64</v>
          </cell>
          <cell r="K42">
            <v>50476.95000000007</v>
          </cell>
          <cell r="L42">
            <v>180498.97231874237</v>
          </cell>
          <cell r="M42">
            <v>10158.195044309556</v>
          </cell>
          <cell r="N42">
            <v>164803.40950841695</v>
          </cell>
          <cell r="O42">
            <v>9274.8737361087988</v>
          </cell>
          <cell r="P42">
            <v>164803.40950841695</v>
          </cell>
          <cell r="Q42">
            <v>9274.8737361087988</v>
          </cell>
          <cell r="R42">
            <v>510105.79133557627</v>
          </cell>
          <cell r="S42">
            <v>28707.942516527153</v>
          </cell>
          <cell r="T42">
            <v>510105.79133557633</v>
          </cell>
          <cell r="U42">
            <v>28707.942516527215</v>
          </cell>
          <cell r="V42">
            <v>1020211.5826711527</v>
          </cell>
          <cell r="W42">
            <v>57415.885033054365</v>
          </cell>
          <cell r="X42">
            <v>2042156.2226711526</v>
          </cell>
          <cell r="Y42">
            <v>107892.83503305443</v>
          </cell>
          <cell r="Z42">
            <v>1040615.8143245756</v>
          </cell>
          <cell r="AA42">
            <v>58564.202733715494</v>
          </cell>
          <cell r="AB42">
            <v>0</v>
          </cell>
          <cell r="AC42">
            <v>0</v>
          </cell>
          <cell r="AD42">
            <v>1040615.8143245756</v>
          </cell>
          <cell r="AE42">
            <v>58564.202733715494</v>
          </cell>
          <cell r="AF42" t="e">
            <v>#N/A</v>
          </cell>
          <cell r="AG42">
            <v>39819</v>
          </cell>
          <cell r="AH42" t="e">
            <v>#N/A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1202443.6123187423</v>
          </cell>
          <cell r="AQ42">
            <v>60635.145044309626</v>
          </cell>
          <cell r="AR42">
            <v>1367247.0218271592</v>
          </cell>
          <cell r="AS42">
            <v>69910.018780418424</v>
          </cell>
          <cell r="AT42">
            <v>1532050.4313355761</v>
          </cell>
          <cell r="AU42">
            <v>79184.892516527223</v>
          </cell>
          <cell r="AV42">
            <v>2042156.2226711526</v>
          </cell>
          <cell r="AW42">
            <v>107892.83503305443</v>
          </cell>
        </row>
        <row r="43">
          <cell r="B43" t="str">
            <v>032707</v>
          </cell>
          <cell r="C43" t="str">
            <v>WHITEHORSE GREEN WASTE</v>
          </cell>
          <cell r="D43">
            <v>3733999</v>
          </cell>
          <cell r="E43">
            <v>3360653.42</v>
          </cell>
          <cell r="F43">
            <v>9.8064303281683723E-2</v>
          </cell>
          <cell r="G43">
            <v>381604</v>
          </cell>
          <cell r="H43">
            <v>337008.7</v>
          </cell>
          <cell r="I43">
            <v>0.11383026164876156</v>
          </cell>
          <cell r="J43">
            <v>373345.58</v>
          </cell>
          <cell r="K43">
            <v>44595.3</v>
          </cell>
          <cell r="L43">
            <v>65317.544933727797</v>
          </cell>
          <cell r="M43">
            <v>6986.649756213018</v>
          </cell>
          <cell r="N43">
            <v>59637.758417751473</v>
          </cell>
          <cell r="O43">
            <v>6118.2454295857942</v>
          </cell>
          <cell r="P43">
            <v>59637.758417751473</v>
          </cell>
          <cell r="Q43">
            <v>6118.2454295857942</v>
          </cell>
          <cell r="R43">
            <v>184593.06176923076</v>
          </cell>
          <cell r="S43">
            <v>19223.140615384607</v>
          </cell>
          <cell r="T43">
            <v>184593.06176923076</v>
          </cell>
          <cell r="U43">
            <v>19223.140615384615</v>
          </cell>
          <cell r="V43">
            <v>369186.12353846151</v>
          </cell>
          <cell r="W43">
            <v>38446.281230769222</v>
          </cell>
          <cell r="X43">
            <v>742531.70353846159</v>
          </cell>
          <cell r="Y43">
            <v>83041.581230769225</v>
          </cell>
          <cell r="Z43">
            <v>376569.84600923082</v>
          </cell>
          <cell r="AA43">
            <v>39754.06085076923</v>
          </cell>
          <cell r="AB43">
            <v>376569.84600923082</v>
          </cell>
          <cell r="AC43">
            <v>39754.06085076923</v>
          </cell>
          <cell r="AD43">
            <v>753139.69201846165</v>
          </cell>
          <cell r="AE43">
            <v>79508.121701538461</v>
          </cell>
          <cell r="AF43" t="e">
            <v>#N/A</v>
          </cell>
          <cell r="AG43">
            <v>41090</v>
          </cell>
          <cell r="AH43" t="e">
            <v>#N/A</v>
          </cell>
          <cell r="AI43" t="e">
            <v>#N/A</v>
          </cell>
          <cell r="AJ43">
            <v>6085</v>
          </cell>
          <cell r="AK43">
            <v>238524</v>
          </cell>
          <cell r="AL43">
            <v>2238327.604443077</v>
          </cell>
          <cell r="AM43">
            <v>219054.29706769233</v>
          </cell>
          <cell r="AN43">
            <v>0</v>
          </cell>
          <cell r="AO43">
            <v>0</v>
          </cell>
          <cell r="AP43">
            <v>438663.12493372778</v>
          </cell>
          <cell r="AQ43">
            <v>51581.94975621302</v>
          </cell>
          <cell r="AR43">
            <v>498300.88335147925</v>
          </cell>
          <cell r="AS43">
            <v>57700.195185798817</v>
          </cell>
          <cell r="AT43">
            <v>557938.64176923071</v>
          </cell>
          <cell r="AU43">
            <v>63818.440615384614</v>
          </cell>
          <cell r="AV43">
            <v>742531.70353846159</v>
          </cell>
          <cell r="AW43">
            <v>83041.581230769225</v>
          </cell>
        </row>
        <row r="44">
          <cell r="B44" t="str">
            <v>032760</v>
          </cell>
          <cell r="C44" t="str">
            <v>WHITEHORSE LITTER</v>
          </cell>
          <cell r="D44">
            <v>1127772.8137180333</v>
          </cell>
          <cell r="E44">
            <v>170856.62371803331</v>
          </cell>
          <cell r="F44">
            <v>0.84171728038422999</v>
          </cell>
          <cell r="G44">
            <v>83469.446679225075</v>
          </cell>
          <cell r="H44">
            <v>5561.4466792250751</v>
          </cell>
          <cell r="I44">
            <v>7.9928351582268908E-2</v>
          </cell>
          <cell r="J44">
            <v>87726.73</v>
          </cell>
          <cell r="K44">
            <v>5026.53</v>
          </cell>
          <cell r="L44">
            <v>14964.593851922185</v>
          </cell>
          <cell r="M44">
            <v>487.10309833273737</v>
          </cell>
          <cell r="N44">
            <v>13663.324821320257</v>
          </cell>
          <cell r="O44">
            <v>444.7463071733676</v>
          </cell>
          <cell r="P44">
            <v>13663.324821320257</v>
          </cell>
          <cell r="Q44">
            <v>444.7463071733676</v>
          </cell>
          <cell r="R44">
            <v>42291.243494562703</v>
          </cell>
          <cell r="S44">
            <v>1376.5957126794726</v>
          </cell>
          <cell r="T44">
            <v>42291.243494562703</v>
          </cell>
          <cell r="U44">
            <v>1376.5957126794742</v>
          </cell>
          <cell r="V44">
            <v>84582.486989125406</v>
          </cell>
          <cell r="W44">
            <v>2753.1914253589466</v>
          </cell>
          <cell r="X44">
            <v>172309.21698912542</v>
          </cell>
          <cell r="Y44">
            <v>7779.7214253589464</v>
          </cell>
          <cell r="Z44">
            <v>86274.136728907921</v>
          </cell>
          <cell r="AA44">
            <v>2808.2552538661303</v>
          </cell>
          <cell r="AB44">
            <v>0</v>
          </cell>
          <cell r="AC44">
            <v>0</v>
          </cell>
          <cell r="AD44">
            <v>86274.136728907921</v>
          </cell>
          <cell r="AE44">
            <v>2808.2552538661303</v>
          </cell>
          <cell r="AF44" t="e">
            <v>#N/A</v>
          </cell>
          <cell r="AG44">
            <v>39819</v>
          </cell>
          <cell r="AH44" t="e">
            <v>#N/A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102691.32385192218</v>
          </cell>
          <cell r="AQ44">
            <v>5513.6330983327371</v>
          </cell>
          <cell r="AR44">
            <v>116354.64867324244</v>
          </cell>
          <cell r="AS44">
            <v>5958.3794055061044</v>
          </cell>
          <cell r="AT44">
            <v>130017.9734945627</v>
          </cell>
          <cell r="AU44">
            <v>6403.1257126794717</v>
          </cell>
          <cell r="AV44">
            <v>172309.21698912542</v>
          </cell>
          <cell r="AW44">
            <v>7779.7214253589464</v>
          </cell>
        </row>
        <row r="45">
          <cell r="B45" t="str">
            <v>032801</v>
          </cell>
          <cell r="C45" t="str">
            <v>CASEY DOMESTIC</v>
          </cell>
          <cell r="D45">
            <v>16650000</v>
          </cell>
          <cell r="E45">
            <v>4318166.34</v>
          </cell>
          <cell r="F45">
            <v>0.73098576798654236</v>
          </cell>
          <cell r="G45">
            <v>1194000</v>
          </cell>
          <cell r="H45">
            <v>160282.37</v>
          </cell>
          <cell r="I45">
            <v>7.7251552795031056E-2</v>
          </cell>
          <cell r="J45">
            <v>1368485.68</v>
          </cell>
          <cell r="K45">
            <v>45548.03</v>
          </cell>
          <cell r="L45">
            <v>239906.42510117267</v>
          </cell>
          <cell r="M45">
            <v>9074.1684278515386</v>
          </cell>
          <cell r="N45">
            <v>218157.6124836794</v>
          </cell>
          <cell r="O45">
            <v>7075.9868254295907</v>
          </cell>
          <cell r="P45">
            <v>218157.6124836794</v>
          </cell>
          <cell r="Q45">
            <v>7075.9868254295907</v>
          </cell>
          <cell r="R45">
            <v>676221.65006853151</v>
          </cell>
          <cell r="S45">
            <v>23226.14207871072</v>
          </cell>
          <cell r="T45">
            <v>676221.65006853151</v>
          </cell>
          <cell r="U45">
            <v>23226.142078710691</v>
          </cell>
          <cell r="V45">
            <v>1352443.300137063</v>
          </cell>
          <cell r="W45">
            <v>46452.284157421411</v>
          </cell>
          <cell r="X45">
            <v>2720928.9801370632</v>
          </cell>
          <cell r="Y45">
            <v>92000.31415742141</v>
          </cell>
          <cell r="Z45">
            <v>1379492.1661398043</v>
          </cell>
          <cell r="AA45">
            <v>48988.42144057012</v>
          </cell>
          <cell r="AB45">
            <v>1379492.1661398043</v>
          </cell>
          <cell r="AC45">
            <v>48988.42144057012</v>
          </cell>
          <cell r="AD45">
            <v>2758984.3322796086</v>
          </cell>
          <cell r="AE45">
            <v>97976.842881140241</v>
          </cell>
          <cell r="AF45" t="e">
            <v>#N/A</v>
          </cell>
          <cell r="AG45">
            <v>40029</v>
          </cell>
          <cell r="AH45" t="e">
            <v>#N/A</v>
          </cell>
          <cell r="AI45" t="e">
            <v>#N/A</v>
          </cell>
          <cell r="AJ45">
            <v>15853</v>
          </cell>
          <cell r="AK45">
            <v>8165</v>
          </cell>
          <cell r="AL45">
            <v>206738.70758332824</v>
          </cell>
          <cell r="AM45">
            <v>15853.242961438344</v>
          </cell>
          <cell r="AN45">
            <v>0</v>
          </cell>
          <cell r="AO45">
            <v>0</v>
          </cell>
          <cell r="AP45">
            <v>1608392.1051011726</v>
          </cell>
          <cell r="AQ45">
            <v>54622.198427851537</v>
          </cell>
          <cell r="AR45">
            <v>1826549.7175848519</v>
          </cell>
          <cell r="AS45">
            <v>61698.185253281132</v>
          </cell>
          <cell r="AT45">
            <v>2044707.3300685312</v>
          </cell>
          <cell r="AU45">
            <v>68774.172078710719</v>
          </cell>
          <cell r="AV45">
            <v>2720928.9801370632</v>
          </cell>
          <cell r="AW45">
            <v>92000.31415742141</v>
          </cell>
        </row>
        <row r="46">
          <cell r="B46" t="str">
            <v>032804</v>
          </cell>
          <cell r="C46" t="str">
            <v>CASEY RECYCLING</v>
          </cell>
          <cell r="D46">
            <v>8683000</v>
          </cell>
          <cell r="E46">
            <v>2272789.85</v>
          </cell>
          <cell r="F46">
            <v>0.7309931735159817</v>
          </cell>
          <cell r="G46">
            <v>799000</v>
          </cell>
          <cell r="H46">
            <v>151940.03</v>
          </cell>
          <cell r="I46">
            <v>0.10134449518011161</v>
          </cell>
          <cell r="J46">
            <v>716371.29</v>
          </cell>
          <cell r="K46">
            <v>47777.919999999998</v>
          </cell>
          <cell r="L46">
            <v>126795.44509540459</v>
          </cell>
          <cell r="M46">
            <v>9323.1923641692229</v>
          </cell>
          <cell r="N46">
            <v>114438.676826239</v>
          </cell>
          <cell r="O46">
            <v>7181.4025933719167</v>
          </cell>
          <cell r="P46">
            <v>114438.676826239</v>
          </cell>
          <cell r="Q46">
            <v>7181.4025933719167</v>
          </cell>
          <cell r="R46">
            <v>355672.7987478826</v>
          </cell>
          <cell r="S46">
            <v>23685.997550913056</v>
          </cell>
          <cell r="T46">
            <v>355672.79874788265</v>
          </cell>
          <cell r="U46">
            <v>23685.997550913129</v>
          </cell>
          <cell r="V46">
            <v>711345.59749576519</v>
          </cell>
          <cell r="W46">
            <v>47371.995101826185</v>
          </cell>
          <cell r="X46">
            <v>1427716.8874957652</v>
          </cell>
          <cell r="Y46">
            <v>95149.915101826191</v>
          </cell>
          <cell r="Z46">
            <v>725572.50944568065</v>
          </cell>
          <cell r="AA46">
            <v>48319.435003862687</v>
          </cell>
          <cell r="AB46">
            <v>725572.50944568065</v>
          </cell>
          <cell r="AC46">
            <v>48319.435003862687</v>
          </cell>
          <cell r="AD46">
            <v>1451145.0188913613</v>
          </cell>
          <cell r="AE46">
            <v>96638.870007725374</v>
          </cell>
          <cell r="AF46" t="e">
            <v>#N/A</v>
          </cell>
          <cell r="AG46">
            <v>40029</v>
          </cell>
          <cell r="AH46" t="e">
            <v>#N/A</v>
          </cell>
          <cell r="AI46" t="e">
            <v>#N/A</v>
          </cell>
          <cell r="AJ46">
            <v>7929</v>
          </cell>
          <cell r="AK46">
            <v>8053</v>
          </cell>
          <cell r="AL46">
            <v>110299.23361287359</v>
          </cell>
          <cell r="AM46">
            <v>7929.1648904484464</v>
          </cell>
          <cell r="AN46">
            <v>0</v>
          </cell>
          <cell r="AO46">
            <v>0</v>
          </cell>
          <cell r="AP46">
            <v>843166.73509540467</v>
          </cell>
          <cell r="AQ46">
            <v>57101.112364169225</v>
          </cell>
          <cell r="AR46">
            <v>957605.41192164365</v>
          </cell>
          <cell r="AS46">
            <v>64282.514957541141</v>
          </cell>
          <cell r="AT46">
            <v>1072044.0887478827</v>
          </cell>
          <cell r="AU46">
            <v>71463.917550913058</v>
          </cell>
          <cell r="AV46">
            <v>1427716.8874957652</v>
          </cell>
          <cell r="AW46">
            <v>95149.915101826191</v>
          </cell>
        </row>
        <row r="47">
          <cell r="B47" t="str">
            <v>032805</v>
          </cell>
          <cell r="C47" t="str">
            <v>CASEY MRF</v>
          </cell>
          <cell r="D47">
            <v>24473000</v>
          </cell>
          <cell r="E47">
            <v>7336644.5</v>
          </cell>
          <cell r="F47">
            <v>0.69823064900922105</v>
          </cell>
          <cell r="G47">
            <v>-1012000</v>
          </cell>
          <cell r="H47">
            <v>-353947.41</v>
          </cell>
          <cell r="I47">
            <v>-3.9709633117520113E-2</v>
          </cell>
          <cell r="J47">
            <v>2333518.02</v>
          </cell>
          <cell r="K47">
            <v>-138722.12</v>
          </cell>
          <cell r="L47">
            <v>410070.07834895415</v>
          </cell>
          <cell r="M47">
            <v>-14379.380230579975</v>
          </cell>
          <cell r="N47">
            <v>369876.80457947997</v>
          </cell>
          <cell r="O47">
            <v>-20355.309775746984</v>
          </cell>
          <cell r="P47">
            <v>369876.80457947997</v>
          </cell>
          <cell r="Q47">
            <v>-20355.309775746984</v>
          </cell>
          <cell r="R47">
            <v>1149823.6875079141</v>
          </cell>
          <cell r="S47">
            <v>-55089.999782073945</v>
          </cell>
          <cell r="T47">
            <v>1149823.6875079141</v>
          </cell>
          <cell r="U47">
            <v>-55089.999782073879</v>
          </cell>
          <cell r="V47">
            <v>2299647.3750158283</v>
          </cell>
          <cell r="W47">
            <v>-110179.99956414782</v>
          </cell>
          <cell r="X47">
            <v>4633165.3950158283</v>
          </cell>
          <cell r="Y47">
            <v>-248902.11956414781</v>
          </cell>
          <cell r="Z47">
            <v>2345640.3225161447</v>
          </cell>
          <cell r="AA47">
            <v>-120275.25795543073</v>
          </cell>
          <cell r="AB47">
            <v>2345640.3225161447</v>
          </cell>
          <cell r="AC47">
            <v>-120275.25795543073</v>
          </cell>
          <cell r="AD47">
            <v>4691280.6450322894</v>
          </cell>
          <cell r="AE47">
            <v>-240550.51591086146</v>
          </cell>
          <cell r="AF47" t="e">
            <v>#N/A</v>
          </cell>
          <cell r="AG47">
            <v>40029</v>
          </cell>
          <cell r="AH47" t="e">
            <v>#N/A</v>
          </cell>
          <cell r="AI47" t="e">
            <v>#N/A</v>
          </cell>
          <cell r="AJ47">
            <v>-3217</v>
          </cell>
          <cell r="AK47">
            <v>-20046</v>
          </cell>
          <cell r="AL47">
            <v>345716.4799518818</v>
          </cell>
          <cell r="AM47">
            <v>-3216.8945249906974</v>
          </cell>
          <cell r="AN47">
            <v>0</v>
          </cell>
          <cell r="AO47">
            <v>0</v>
          </cell>
          <cell r="AP47">
            <v>2743588.0983489542</v>
          </cell>
          <cell r="AQ47">
            <v>-153101.50023057996</v>
          </cell>
          <cell r="AR47">
            <v>3113464.9029284343</v>
          </cell>
          <cell r="AS47">
            <v>-173456.81000632694</v>
          </cell>
          <cell r="AT47">
            <v>3483341.7075079144</v>
          </cell>
          <cell r="AU47">
            <v>-193812.11978207392</v>
          </cell>
          <cell r="AV47">
            <v>4633165.3950158283</v>
          </cell>
          <cell r="AW47">
            <v>-248902.11956414781</v>
          </cell>
        </row>
        <row r="48">
          <cell r="B48" t="str">
            <v>032807</v>
          </cell>
          <cell r="C48" t="str">
            <v>CASEY GREENWASTE - NEW</v>
          </cell>
          <cell r="D48">
            <v>8806750</v>
          </cell>
          <cell r="E48">
            <v>2892486.04</v>
          </cell>
          <cell r="F48">
            <v>0.67188267026019588</v>
          </cell>
          <cell r="G48">
            <v>1541840</v>
          </cell>
          <cell r="H48">
            <v>508743.17</v>
          </cell>
          <cell r="I48">
            <v>0.21223112192718149</v>
          </cell>
          <cell r="J48">
            <v>905268.03</v>
          </cell>
          <cell r="K48">
            <v>154005.59</v>
          </cell>
          <cell r="L48">
            <v>159344.50904286985</v>
          </cell>
          <cell r="M48">
            <v>27837.579620047549</v>
          </cell>
          <cell r="N48">
            <v>145488.46477827249</v>
          </cell>
          <cell r="O48">
            <v>25416.920522652115</v>
          </cell>
          <cell r="P48">
            <v>145488.46477827249</v>
          </cell>
          <cell r="Q48">
            <v>25416.920522652115</v>
          </cell>
          <cell r="R48">
            <v>450321.43859941483</v>
          </cell>
          <cell r="S48">
            <v>78671.420665351776</v>
          </cell>
          <cell r="T48">
            <v>450321.43859941483</v>
          </cell>
          <cell r="U48">
            <v>78671.42066535179</v>
          </cell>
          <cell r="V48">
            <v>900642.87719882966</v>
          </cell>
          <cell r="W48">
            <v>157342.84133070358</v>
          </cell>
          <cell r="X48">
            <v>1805910.9071988296</v>
          </cell>
          <cell r="Y48">
            <v>311348.43133070355</v>
          </cell>
          <cell r="Z48">
            <v>918655.73474280618</v>
          </cell>
          <cell r="AA48">
            <v>160489.69815731759</v>
          </cell>
          <cell r="AB48">
            <v>918655.73474280618</v>
          </cell>
          <cell r="AC48">
            <v>160489.69815731759</v>
          </cell>
          <cell r="AD48">
            <v>1837311.4694856124</v>
          </cell>
          <cell r="AE48">
            <v>320979.39631463517</v>
          </cell>
          <cell r="AF48" t="e">
            <v>#N/A</v>
          </cell>
          <cell r="AG48">
            <v>40029</v>
          </cell>
          <cell r="AH48" t="e">
            <v>#N/A</v>
          </cell>
          <cell r="AI48" t="e">
            <v>#N/A</v>
          </cell>
          <cell r="AJ48">
            <v>30421</v>
          </cell>
          <cell r="AK48">
            <v>26748</v>
          </cell>
          <cell r="AL48">
            <v>154531.6933155579</v>
          </cell>
          <cell r="AM48">
            <v>30420.932354661229</v>
          </cell>
          <cell r="AN48">
            <v>0</v>
          </cell>
          <cell r="AO48">
            <v>0</v>
          </cell>
          <cell r="AP48">
            <v>1064612.5390428698</v>
          </cell>
          <cell r="AQ48">
            <v>181843.16962004756</v>
          </cell>
          <cell r="AR48">
            <v>1210101.0038211423</v>
          </cell>
          <cell r="AS48">
            <v>207260.09014269966</v>
          </cell>
          <cell r="AT48">
            <v>1355589.4685994147</v>
          </cell>
          <cell r="AU48">
            <v>232677.01066535176</v>
          </cell>
          <cell r="AV48">
            <v>1805910.9071988296</v>
          </cell>
          <cell r="AW48">
            <v>311348.43133070355</v>
          </cell>
        </row>
        <row r="49">
          <cell r="B49" t="str">
            <v>032901</v>
          </cell>
          <cell r="C49" t="str">
            <v>CARDINIA DOMESTIC</v>
          </cell>
          <cell r="D49">
            <v>9170561.5611067582</v>
          </cell>
          <cell r="E49">
            <v>2281933.6411067583</v>
          </cell>
          <cell r="F49">
            <v>0.75186084839540124</v>
          </cell>
          <cell r="G49">
            <v>1236683.8459275605</v>
          </cell>
          <cell r="H49">
            <v>313227.95592756046</v>
          </cell>
          <cell r="I49">
            <v>0.15587382240105882</v>
          </cell>
          <cell r="J49">
            <v>760407.37</v>
          </cell>
          <cell r="K49">
            <v>113468.67</v>
          </cell>
          <cell r="L49">
            <v>132804.84247331845</v>
          </cell>
          <cell r="M49">
            <v>18315.206988699119</v>
          </cell>
          <cell r="N49">
            <v>121256.59530172555</v>
          </cell>
          <cell r="O49">
            <v>16339.971598377442</v>
          </cell>
          <cell r="P49">
            <v>121256.59530172555</v>
          </cell>
          <cell r="Q49">
            <v>16339.971598377442</v>
          </cell>
          <cell r="R49">
            <v>375318.03307676956</v>
          </cell>
          <cell r="S49">
            <v>50995.150185454004</v>
          </cell>
          <cell r="T49">
            <v>375318.03307676956</v>
          </cell>
          <cell r="U49">
            <v>50995.150185454033</v>
          </cell>
          <cell r="V49">
            <v>750636.06615353911</v>
          </cell>
          <cell r="W49">
            <v>101990.30037090804</v>
          </cell>
          <cell r="X49">
            <v>1511043.436153539</v>
          </cell>
          <cell r="Y49">
            <v>215458.97037090803</v>
          </cell>
          <cell r="Z49">
            <v>765648.78747660969</v>
          </cell>
          <cell r="AA49">
            <v>105618.82777832619</v>
          </cell>
          <cell r="AB49">
            <v>765648.78747660969</v>
          </cell>
          <cell r="AC49">
            <v>105618.82777832619</v>
          </cell>
          <cell r="AD49">
            <v>1531297.5749532194</v>
          </cell>
          <cell r="AE49">
            <v>211237.65555665237</v>
          </cell>
          <cell r="AF49" t="e">
            <v>#N/A</v>
          </cell>
          <cell r="AG49">
            <v>39994</v>
          </cell>
          <cell r="AH49" t="e">
            <v>#N/A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893212.21247331845</v>
          </cell>
          <cell r="AQ49">
            <v>131783.87698869911</v>
          </cell>
          <cell r="AR49">
            <v>1014468.807775044</v>
          </cell>
          <cell r="AS49">
            <v>148123.84858707656</v>
          </cell>
          <cell r="AT49">
            <v>1135725.4030767696</v>
          </cell>
          <cell r="AU49">
            <v>164463.82018545401</v>
          </cell>
          <cell r="AV49">
            <v>1511043.436153539</v>
          </cell>
          <cell r="AW49">
            <v>215458.97037090803</v>
          </cell>
        </row>
        <row r="50">
          <cell r="B50" t="str">
            <v>032904</v>
          </cell>
          <cell r="C50" t="str">
            <v>CARDINIA RECYCLING</v>
          </cell>
          <cell r="D50">
            <v>4923261.1413545748</v>
          </cell>
          <cell r="E50">
            <v>1216879.0013545747</v>
          </cell>
          <cell r="F50">
            <v>0.74429590671678791</v>
          </cell>
          <cell r="G50">
            <v>583831.9696327172</v>
          </cell>
          <cell r="H50">
            <v>107269.19963271718</v>
          </cell>
          <cell r="I50">
            <v>0.13454119114036753</v>
          </cell>
          <cell r="J50">
            <v>407822.67</v>
          </cell>
          <cell r="K50">
            <v>36200.82</v>
          </cell>
          <cell r="L50">
            <v>70820.387224583057</v>
          </cell>
          <cell r="M50">
            <v>6389.2609604061199</v>
          </cell>
          <cell r="N50">
            <v>64662.092683314972</v>
          </cell>
          <cell r="O50">
            <v>5746.7165290664443</v>
          </cell>
          <cell r="P50">
            <v>64662.092683314972</v>
          </cell>
          <cell r="Q50">
            <v>5746.7165290664443</v>
          </cell>
          <cell r="R50">
            <v>200144.57259121299</v>
          </cell>
          <cell r="S50">
            <v>17882.694018539009</v>
          </cell>
          <cell r="T50">
            <v>200144.57259121299</v>
          </cell>
          <cell r="U50">
            <v>17882.694018538994</v>
          </cell>
          <cell r="V50">
            <v>400289.14518242597</v>
          </cell>
          <cell r="W50">
            <v>35765.388037078003</v>
          </cell>
          <cell r="X50">
            <v>808111.81518242601</v>
          </cell>
          <cell r="Y50">
            <v>71966.208037078002</v>
          </cell>
          <cell r="Z50">
            <v>408294.92808607442</v>
          </cell>
          <cell r="AA50">
            <v>35751.9057978196</v>
          </cell>
          <cell r="AB50">
            <v>408294.92808607442</v>
          </cell>
          <cell r="AC50">
            <v>35751.9057978196</v>
          </cell>
          <cell r="AD50">
            <v>816589.85617214884</v>
          </cell>
          <cell r="AE50">
            <v>71503.811595639199</v>
          </cell>
          <cell r="AF50" t="e">
            <v>#N/A</v>
          </cell>
          <cell r="AG50">
            <v>39994</v>
          </cell>
          <cell r="AH50" t="e">
            <v>#N/A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478643.05722458306</v>
          </cell>
          <cell r="AQ50">
            <v>42590.080960406121</v>
          </cell>
          <cell r="AR50">
            <v>543305.14990789804</v>
          </cell>
          <cell r="AS50">
            <v>48336.797489472563</v>
          </cell>
          <cell r="AT50">
            <v>607967.24259121297</v>
          </cell>
          <cell r="AU50">
            <v>54083.514018539005</v>
          </cell>
          <cell r="AV50">
            <v>808111.81518242601</v>
          </cell>
          <cell r="AW50">
            <v>71966.208037078002</v>
          </cell>
        </row>
        <row r="51">
          <cell r="B51" t="str">
            <v>032907</v>
          </cell>
          <cell r="C51" t="str">
            <v>CARDINIA GREENWASTE</v>
          </cell>
          <cell r="D51">
            <v>4537150</v>
          </cell>
          <cell r="E51">
            <v>3912767.23</v>
          </cell>
          <cell r="F51">
            <v>0.12950214668093368</v>
          </cell>
          <cell r="G51">
            <v>767144</v>
          </cell>
          <cell r="H51">
            <v>630985.1</v>
          </cell>
          <cell r="I51">
            <v>0.2034861482979072</v>
          </cell>
          <cell r="J51">
            <v>345714.19</v>
          </cell>
          <cell r="K51">
            <v>73759.350000000006</v>
          </cell>
          <cell r="L51">
            <v>51526.881479842945</v>
          </cell>
          <cell r="M51">
            <v>3513.8355710335723</v>
          </cell>
          <cell r="N51">
            <v>47154.978742465297</v>
          </cell>
          <cell r="O51">
            <v>3316.9803039871613</v>
          </cell>
          <cell r="P51">
            <v>47154.978742465297</v>
          </cell>
          <cell r="Q51">
            <v>3316.9803039871613</v>
          </cell>
          <cell r="R51">
            <v>145836.83896477355</v>
          </cell>
          <cell r="S51">
            <v>10147.796179007895</v>
          </cell>
          <cell r="T51">
            <v>145836.83896477355</v>
          </cell>
          <cell r="U51">
            <v>10147.796179007895</v>
          </cell>
          <cell r="V51">
            <v>291673.67792954709</v>
          </cell>
          <cell r="W51">
            <v>20295.592358015791</v>
          </cell>
          <cell r="X51">
            <v>637387.86792954709</v>
          </cell>
          <cell r="Y51">
            <v>94054.942358015804</v>
          </cell>
          <cell r="Z51">
            <v>324206.80238691589</v>
          </cell>
          <cell r="AA51">
            <v>47401.15510395397</v>
          </cell>
          <cell r="AB51">
            <v>324206.80238691589</v>
          </cell>
          <cell r="AC51">
            <v>47401.15510395397</v>
          </cell>
          <cell r="AD51">
            <v>648413.60477383179</v>
          </cell>
          <cell r="AE51">
            <v>94802.31020790794</v>
          </cell>
          <cell r="AF51" t="e">
            <v>#N/A</v>
          </cell>
          <cell r="AG51">
            <v>41670</v>
          </cell>
          <cell r="AH51" t="e">
            <v>#N/A</v>
          </cell>
          <cell r="AI51" t="e">
            <v>#N/A</v>
          </cell>
          <cell r="AJ51">
            <v>9380</v>
          </cell>
          <cell r="AK51">
            <v>434511</v>
          </cell>
          <cell r="AL51">
            <v>2972679.9472966213</v>
          </cell>
          <cell r="AM51">
            <v>515887.19743407622</v>
          </cell>
          <cell r="AN51">
            <v>0</v>
          </cell>
          <cell r="AO51">
            <v>0</v>
          </cell>
          <cell r="AP51">
            <v>397241.07147984294</v>
          </cell>
          <cell r="AQ51">
            <v>77273.18557103358</v>
          </cell>
          <cell r="AR51">
            <v>444396.05022230826</v>
          </cell>
          <cell r="AS51">
            <v>80590.165875020743</v>
          </cell>
          <cell r="AT51">
            <v>491551.02896477358</v>
          </cell>
          <cell r="AU51">
            <v>83907.146179007905</v>
          </cell>
          <cell r="AV51">
            <v>637387.86792954709</v>
          </cell>
          <cell r="AW51">
            <v>94054.942358015804</v>
          </cell>
        </row>
        <row r="52">
          <cell r="B52" t="str">
            <v>033104</v>
          </cell>
          <cell r="C52" t="str">
            <v>DAREBIN RECYCLING</v>
          </cell>
          <cell r="D52">
            <v>6996000</v>
          </cell>
          <cell r="E52">
            <v>2710007.65</v>
          </cell>
          <cell r="F52">
            <v>0.61090694065539042</v>
          </cell>
          <cell r="G52">
            <v>764600</v>
          </cell>
          <cell r="H52">
            <v>285413.15999999997</v>
          </cell>
          <cell r="I52">
            <v>0.12270115864813685</v>
          </cell>
          <cell r="J52">
            <v>515506.25</v>
          </cell>
          <cell r="K52">
            <v>55883.32</v>
          </cell>
          <cell r="L52">
            <v>91118.88121976101</v>
          </cell>
          <cell r="M52">
            <v>9293.4087312618285</v>
          </cell>
          <cell r="N52">
            <v>83195.500244129624</v>
          </cell>
          <cell r="O52">
            <v>7882.1784068042743</v>
          </cell>
          <cell r="P52">
            <v>83195.500244129624</v>
          </cell>
          <cell r="Q52">
            <v>7882.1784068042743</v>
          </cell>
          <cell r="R52">
            <v>257509.88170802026</v>
          </cell>
          <cell r="S52">
            <v>25057.765544870377</v>
          </cell>
          <cell r="T52">
            <v>257509.88170802029</v>
          </cell>
          <cell r="U52">
            <v>25057.765544870388</v>
          </cell>
          <cell r="V52">
            <v>515019.76341604057</v>
          </cell>
          <cell r="W52">
            <v>50115.531089740762</v>
          </cell>
          <cell r="X52">
            <v>1030526.0134160406</v>
          </cell>
          <cell r="Y52">
            <v>105998.85108974075</v>
          </cell>
          <cell r="Z52">
            <v>525320.15868436138</v>
          </cell>
          <cell r="AA52">
            <v>51758.335411535634</v>
          </cell>
          <cell r="AB52">
            <v>525320.15868436138</v>
          </cell>
          <cell r="AC52">
            <v>51758.335411535634</v>
          </cell>
          <cell r="AD52">
            <v>1050640.3173687228</v>
          </cell>
          <cell r="AE52">
            <v>103516.67082307127</v>
          </cell>
          <cell r="AF52" t="e">
            <v>#N/A</v>
          </cell>
          <cell r="AG52">
            <v>40421</v>
          </cell>
          <cell r="AH52" t="e">
            <v>#N/A</v>
          </cell>
          <cell r="AI52" t="e">
            <v>#N/A</v>
          </cell>
          <cell r="AJ52">
            <v>9413</v>
          </cell>
          <cell r="AK52">
            <v>120769</v>
          </cell>
          <cell r="AL52">
            <v>1144347.5692152365</v>
          </cell>
          <cell r="AM52">
            <v>131780.95808718796</v>
          </cell>
          <cell r="AN52">
            <v>0</v>
          </cell>
          <cell r="AO52">
            <v>0</v>
          </cell>
          <cell r="AP52">
            <v>606625.13121976098</v>
          </cell>
          <cell r="AQ52">
            <v>65176.728731261828</v>
          </cell>
          <cell r="AR52">
            <v>689820.63146389066</v>
          </cell>
          <cell r="AS52">
            <v>73058.907138066104</v>
          </cell>
          <cell r="AT52">
            <v>773016.13170802034</v>
          </cell>
          <cell r="AU52">
            <v>80941.085544870381</v>
          </cell>
          <cell r="AV52">
            <v>1030526.0134160406</v>
          </cell>
          <cell r="AW52">
            <v>105998.85108974075</v>
          </cell>
        </row>
        <row r="53">
          <cell r="B53" t="str">
            <v>033105</v>
          </cell>
          <cell r="C53" t="str">
            <v>DAREBIN MRF</v>
          </cell>
          <cell r="D53">
            <v>11350000</v>
          </cell>
          <cell r="E53">
            <v>5510260.9299999997</v>
          </cell>
          <cell r="F53">
            <v>0.51609965532098234</v>
          </cell>
          <cell r="G53">
            <v>-255000</v>
          </cell>
          <cell r="H53">
            <v>-105402.57</v>
          </cell>
          <cell r="I53">
            <v>-2.1973287376130978E-2</v>
          </cell>
          <cell r="J53">
            <v>998552.2</v>
          </cell>
          <cell r="K53">
            <v>-20944.600000000093</v>
          </cell>
          <cell r="L53">
            <v>181777.48481850649</v>
          </cell>
          <cell r="M53">
            <v>1195.3564652012399</v>
          </cell>
          <cell r="N53">
            <v>161454.23309515812</v>
          </cell>
          <cell r="O53">
            <v>-6259.884096990133</v>
          </cell>
          <cell r="P53">
            <v>161454.23309515812</v>
          </cell>
          <cell r="Q53">
            <v>-6259.884096990133</v>
          </cell>
          <cell r="R53">
            <v>504685.95100882277</v>
          </cell>
          <cell r="S53">
            <v>-11324.411728779027</v>
          </cell>
          <cell r="T53">
            <v>504685.95100882277</v>
          </cell>
          <cell r="U53">
            <v>-11324.411728778945</v>
          </cell>
          <cell r="V53">
            <v>1009371.9020176455</v>
          </cell>
          <cell r="W53">
            <v>-22648.82345755797</v>
          </cell>
          <cell r="X53">
            <v>2007924.1020176455</v>
          </cell>
          <cell r="Y53">
            <v>-43593.423457558063</v>
          </cell>
          <cell r="Z53">
            <v>1029559.3400579983</v>
          </cell>
          <cell r="AA53">
            <v>-20354.837926709053</v>
          </cell>
          <cell r="AB53">
            <v>1029559.3400579983</v>
          </cell>
          <cell r="AC53">
            <v>-20354.837926709053</v>
          </cell>
          <cell r="AD53">
            <v>2059118.6801159966</v>
          </cell>
          <cell r="AE53">
            <v>-40709.675853418106</v>
          </cell>
          <cell r="AF53" t="e">
            <v>#N/A</v>
          </cell>
          <cell r="AG53">
            <v>40421</v>
          </cell>
          <cell r="AH53" t="e">
            <v>#N/A</v>
          </cell>
          <cell r="AI53" t="e">
            <v>#N/A</v>
          </cell>
          <cell r="AJ53">
            <v>-3003</v>
          </cell>
          <cell r="AK53">
            <v>-47495</v>
          </cell>
          <cell r="AL53">
            <v>2441770.3478663573</v>
          </cell>
          <cell r="AM53">
            <v>-42044.070689023931</v>
          </cell>
          <cell r="AN53">
            <v>0</v>
          </cell>
          <cell r="AO53">
            <v>0</v>
          </cell>
          <cell r="AP53">
            <v>1180329.6848185065</v>
          </cell>
          <cell r="AQ53">
            <v>-19749.243534798854</v>
          </cell>
          <cell r="AR53">
            <v>1341783.9179136646</v>
          </cell>
          <cell r="AS53">
            <v>-26009.127631788986</v>
          </cell>
          <cell r="AT53">
            <v>1503238.1510088227</v>
          </cell>
          <cell r="AU53">
            <v>-32269.011728779118</v>
          </cell>
          <cell r="AV53">
            <v>2007924.1020176455</v>
          </cell>
          <cell r="AW53">
            <v>-43593.423457558063</v>
          </cell>
        </row>
        <row r="54">
          <cell r="B54" t="str">
            <v>033201</v>
          </cell>
          <cell r="C54" t="str">
            <v>DANDENONG DOMESTIC</v>
          </cell>
          <cell r="D54">
            <v>9581236</v>
          </cell>
          <cell r="E54">
            <v>3875413.54</v>
          </cell>
          <cell r="F54">
            <v>0.58596571494183081</v>
          </cell>
          <cell r="G54">
            <v>628123</v>
          </cell>
          <cell r="H54">
            <v>168517.8</v>
          </cell>
          <cell r="I54">
            <v>7.0156938709474564E-2</v>
          </cell>
          <cell r="J54">
            <v>719818.12</v>
          </cell>
          <cell r="K54">
            <v>14920.01</v>
          </cell>
          <cell r="L54">
            <v>127032.46883168313</v>
          </cell>
          <cell r="M54">
            <v>6721.1416416365928</v>
          </cell>
          <cell r="N54">
            <v>115986.16719414547</v>
          </cell>
          <cell r="O54">
            <v>5684.5206293203773</v>
          </cell>
          <cell r="P54">
            <v>115986.16719414547</v>
          </cell>
          <cell r="Q54">
            <v>5684.5206293203773</v>
          </cell>
          <cell r="R54">
            <v>359004.80321997404</v>
          </cell>
          <cell r="S54">
            <v>18090.182900277348</v>
          </cell>
          <cell r="T54">
            <v>359004.8032199741</v>
          </cell>
          <cell r="U54">
            <v>18090.18290027733</v>
          </cell>
          <cell r="V54">
            <v>718009.60643994808</v>
          </cell>
          <cell r="W54">
            <v>36180.365800554675</v>
          </cell>
          <cell r="X54">
            <v>1437827.7264399482</v>
          </cell>
          <cell r="Y54">
            <v>51100.375800554677</v>
          </cell>
          <cell r="Z54">
            <v>732369.79856874724</v>
          </cell>
          <cell r="AA54">
            <v>28236.528216565817</v>
          </cell>
          <cell r="AB54">
            <v>732369.79856874724</v>
          </cell>
          <cell r="AC54">
            <v>28236.528216565817</v>
          </cell>
          <cell r="AD54">
            <v>1464739.5971374945</v>
          </cell>
          <cell r="AE54">
            <v>56473.056433131635</v>
          </cell>
          <cell r="AF54" t="e">
            <v>#N/A</v>
          </cell>
          <cell r="AG54">
            <v>40451</v>
          </cell>
          <cell r="AH54" t="e">
            <v>#N/A</v>
          </cell>
          <cell r="AI54" t="e">
            <v>#N/A</v>
          </cell>
          <cell r="AJ54">
            <v>5058</v>
          </cell>
          <cell r="AK54">
            <v>70591</v>
          </cell>
          <cell r="AL54">
            <v>1692664.3364225575</v>
          </cell>
          <cell r="AM54">
            <v>75864.377766313672</v>
          </cell>
          <cell r="AN54">
            <v>0</v>
          </cell>
          <cell r="AO54">
            <v>0</v>
          </cell>
          <cell r="AP54">
            <v>846850.58883168316</v>
          </cell>
          <cell r="AQ54">
            <v>21641.151641636592</v>
          </cell>
          <cell r="AR54">
            <v>962836.75602582865</v>
          </cell>
          <cell r="AS54">
            <v>27325.672270956969</v>
          </cell>
          <cell r="AT54">
            <v>1078822.9232199742</v>
          </cell>
          <cell r="AU54">
            <v>33010.192900277347</v>
          </cell>
          <cell r="AV54">
            <v>1437827.7264399482</v>
          </cell>
          <cell r="AW54">
            <v>51100.375800554677</v>
          </cell>
        </row>
        <row r="55">
          <cell r="B55" t="str">
            <v>033204</v>
          </cell>
          <cell r="C55" t="str">
            <v>DANDENONG RECYCLING</v>
          </cell>
          <cell r="D55">
            <v>5080679</v>
          </cell>
          <cell r="E55">
            <v>2073329.66</v>
          </cell>
          <cell r="F55">
            <v>0.58464913572862964</v>
          </cell>
          <cell r="G55">
            <v>573067</v>
          </cell>
          <cell r="H55">
            <v>201089.12</v>
          </cell>
          <cell r="I55">
            <v>0.12713316940322281</v>
          </cell>
          <cell r="J55">
            <v>379416.04</v>
          </cell>
          <cell r="K55">
            <v>35735.75</v>
          </cell>
          <cell r="L55">
            <v>66959.161022704153</v>
          </cell>
          <cell r="M55">
            <v>6589.6782518690989</v>
          </cell>
          <cell r="N55">
            <v>61136.625281599452</v>
          </cell>
          <cell r="O55">
            <v>5964.4888386630873</v>
          </cell>
          <cell r="P55">
            <v>61136.625281599452</v>
          </cell>
          <cell r="Q55">
            <v>5964.4888386630873</v>
          </cell>
          <cell r="R55">
            <v>189232.41158590306</v>
          </cell>
          <cell r="S55">
            <v>18518.655929195273</v>
          </cell>
          <cell r="T55">
            <v>189232.41158590309</v>
          </cell>
          <cell r="U55">
            <v>18518.655929195298</v>
          </cell>
          <cell r="V55">
            <v>378464.82317180617</v>
          </cell>
          <cell r="W55">
            <v>37037.311858390574</v>
          </cell>
          <cell r="X55">
            <v>757880.86317180609</v>
          </cell>
          <cell r="Y55">
            <v>72773.061858390574</v>
          </cell>
          <cell r="Z55">
            <v>386034.11963524233</v>
          </cell>
          <cell r="AA55">
            <v>37778.058095558386</v>
          </cell>
          <cell r="AB55">
            <v>386034.11963524233</v>
          </cell>
          <cell r="AC55">
            <v>37778.058095558386</v>
          </cell>
          <cell r="AD55">
            <v>772068.23927048466</v>
          </cell>
          <cell r="AE55">
            <v>75556.116191116773</v>
          </cell>
          <cell r="AF55" t="e">
            <v>#N/A</v>
          </cell>
          <cell r="AG55">
            <v>40451</v>
          </cell>
          <cell r="AH55" t="e">
            <v>#N/A</v>
          </cell>
          <cell r="AI55" t="e">
            <v>#N/A</v>
          </cell>
          <cell r="AJ55">
            <v>5900</v>
          </cell>
          <cell r="AK55">
            <v>94445</v>
          </cell>
          <cell r="AL55">
            <v>922796.59755770897</v>
          </cell>
          <cell r="AM55">
            <v>88495.691950492648</v>
          </cell>
          <cell r="AN55">
            <v>0</v>
          </cell>
          <cell r="AO55">
            <v>0</v>
          </cell>
          <cell r="AP55">
            <v>446375.20102270413</v>
          </cell>
          <cell r="AQ55">
            <v>42325.428251869096</v>
          </cell>
          <cell r="AR55">
            <v>507511.8263043036</v>
          </cell>
          <cell r="AS55">
            <v>48289.917090532181</v>
          </cell>
          <cell r="AT55">
            <v>568648.45158590307</v>
          </cell>
          <cell r="AU55">
            <v>54254.405929195265</v>
          </cell>
          <cell r="AV55">
            <v>757880.86317180609</v>
          </cell>
          <cell r="AW55">
            <v>72773.061858390574</v>
          </cell>
        </row>
        <row r="56">
          <cell r="B56" t="str">
            <v>033207</v>
          </cell>
          <cell r="C56" t="str">
            <v>DANDENONG GREENWASTE</v>
          </cell>
          <cell r="D56">
            <v>7919776</v>
          </cell>
          <cell r="E56">
            <v>3253192.73</v>
          </cell>
          <cell r="F56">
            <v>0.61375233202070445</v>
          </cell>
          <cell r="G56">
            <v>1991977</v>
          </cell>
          <cell r="H56">
            <v>963594.19</v>
          </cell>
          <cell r="I56">
            <v>0.33603990283746127</v>
          </cell>
          <cell r="J56">
            <v>601364.1</v>
          </cell>
          <cell r="K56">
            <v>183271.84</v>
          </cell>
          <cell r="L56">
            <v>106128.63871882384</v>
          </cell>
          <cell r="M56">
            <v>33151.768306158818</v>
          </cell>
          <cell r="N56">
            <v>96900.061438926132</v>
          </cell>
          <cell r="O56">
            <v>30182.049323014566</v>
          </cell>
          <cell r="P56">
            <v>96900.061438926132</v>
          </cell>
          <cell r="Q56">
            <v>30182.049323014566</v>
          </cell>
          <cell r="R56">
            <v>299928.76159667608</v>
          </cell>
          <cell r="S56">
            <v>93515.866952187949</v>
          </cell>
          <cell r="T56">
            <v>299928.76159667614</v>
          </cell>
          <cell r="U56">
            <v>93515.866952187993</v>
          </cell>
          <cell r="V56">
            <v>599857.52319335216</v>
          </cell>
          <cell r="W56">
            <v>187031.73390437593</v>
          </cell>
          <cell r="X56">
            <v>1201221.623193352</v>
          </cell>
          <cell r="Y56">
            <v>370303.57390437589</v>
          </cell>
          <cell r="Z56">
            <v>611854.67365721916</v>
          </cell>
          <cell r="AA56">
            <v>189325.24358246353</v>
          </cell>
          <cell r="AB56">
            <v>611854.67365721916</v>
          </cell>
          <cell r="AC56">
            <v>189325.24358246353</v>
          </cell>
          <cell r="AD56">
            <v>1223709.3473144383</v>
          </cell>
          <cell r="AE56">
            <v>378650.48716492706</v>
          </cell>
          <cell r="AF56" t="e">
            <v>#N/A</v>
          </cell>
          <cell r="AG56">
            <v>40451</v>
          </cell>
          <cell r="AH56" t="e">
            <v>#N/A</v>
          </cell>
          <cell r="AI56" t="e">
            <v>#N/A</v>
          </cell>
          <cell r="AJ56">
            <v>26527</v>
          </cell>
          <cell r="AK56">
            <v>473313</v>
          </cell>
          <cell r="AL56">
            <v>1429625.8594922093</v>
          </cell>
          <cell r="AM56">
            <v>397911.96893069695</v>
          </cell>
          <cell r="AN56">
            <v>0</v>
          </cell>
          <cell r="AO56">
            <v>0</v>
          </cell>
          <cell r="AP56">
            <v>707492.73871882376</v>
          </cell>
          <cell r="AQ56">
            <v>216423.6083061588</v>
          </cell>
          <cell r="AR56">
            <v>804392.80015774991</v>
          </cell>
          <cell r="AS56">
            <v>246605.65762917337</v>
          </cell>
          <cell r="AT56">
            <v>901292.86159667606</v>
          </cell>
          <cell r="AU56">
            <v>276787.70695218793</v>
          </cell>
          <cell r="AV56">
            <v>1201221.623193352</v>
          </cell>
          <cell r="AW56">
            <v>370303.57390437589</v>
          </cell>
        </row>
        <row r="57">
          <cell r="B57" t="str">
            <v>033301</v>
          </cell>
          <cell r="C57" t="str">
            <v>WYNDHAM DOMESTIC</v>
          </cell>
          <cell r="D57">
            <v>9943325</v>
          </cell>
          <cell r="E57">
            <v>4744203.8499999996</v>
          </cell>
          <cell r="F57">
            <v>0.51982793205867583</v>
          </cell>
          <cell r="G57">
            <v>704765</v>
          </cell>
          <cell r="H57">
            <v>308105.39</v>
          </cell>
          <cell r="I57">
            <v>7.6285156994163592E-2</v>
          </cell>
          <cell r="J57">
            <v>778589.92</v>
          </cell>
          <cell r="K57">
            <v>55442.960000000079</v>
          </cell>
          <cell r="L57">
            <v>136630.31623528138</v>
          </cell>
          <cell r="M57">
            <v>9695.3635202862024</v>
          </cell>
          <cell r="N57">
            <v>124749.41917134391</v>
          </cell>
          <cell r="O57">
            <v>8079.6797359135171</v>
          </cell>
          <cell r="P57">
            <v>124749.41917134391</v>
          </cell>
          <cell r="Q57">
            <v>8079.6797359135171</v>
          </cell>
          <cell r="R57">
            <v>386129.15457796922</v>
          </cell>
          <cell r="S57">
            <v>25854.722992113238</v>
          </cell>
          <cell r="T57">
            <v>386129.15457796922</v>
          </cell>
          <cell r="U57">
            <v>25684.722992113198</v>
          </cell>
          <cell r="V57">
            <v>772258.30915593845</v>
          </cell>
          <cell r="W57">
            <v>51539.445984226433</v>
          </cell>
          <cell r="X57">
            <v>1550848.2291559386</v>
          </cell>
          <cell r="Y57">
            <v>106982.40598422651</v>
          </cell>
          <cell r="Z57">
            <v>787703.47533905751</v>
          </cell>
          <cell r="AA57">
            <v>53646.656203911007</v>
          </cell>
          <cell r="AB57">
            <v>787703.47533905751</v>
          </cell>
          <cell r="AC57">
            <v>53646.656203911007</v>
          </cell>
          <cell r="AD57">
            <v>1575406.950678115</v>
          </cell>
          <cell r="AE57">
            <v>107293.31240782201</v>
          </cell>
          <cell r="AF57" t="e">
            <v>#N/A</v>
          </cell>
          <cell r="AG57">
            <v>40582</v>
          </cell>
          <cell r="AH57" t="e">
            <v>#N/A</v>
          </cell>
          <cell r="AI57" t="e">
            <v>#N/A</v>
          </cell>
          <cell r="AJ57">
            <v>7856</v>
          </cell>
          <cell r="AK57">
            <v>169881</v>
          </cell>
          <cell r="AL57">
            <v>2396538.5901659466</v>
          </cell>
          <cell r="AM57">
            <v>149272.6316079516</v>
          </cell>
          <cell r="AN57">
            <v>0</v>
          </cell>
          <cell r="AO57">
            <v>0</v>
          </cell>
          <cell r="AP57">
            <v>915220.23623528145</v>
          </cell>
          <cell r="AQ57">
            <v>65138.323520286285</v>
          </cell>
          <cell r="AR57">
            <v>1039969.6554066254</v>
          </cell>
          <cell r="AS57">
            <v>73218.003256199809</v>
          </cell>
          <cell r="AT57">
            <v>1164719.0745779693</v>
          </cell>
          <cell r="AU57">
            <v>81297.682992113332</v>
          </cell>
          <cell r="AV57">
            <v>1550848.2291559386</v>
          </cell>
          <cell r="AW57">
            <v>106982.40598422651</v>
          </cell>
        </row>
        <row r="58">
          <cell r="B58" t="str">
            <v>033401</v>
          </cell>
          <cell r="C58" t="str">
            <v>BAYSIDE DOMESTIC</v>
          </cell>
          <cell r="D58">
            <v>8271100</v>
          </cell>
          <cell r="E58">
            <v>4294834.29</v>
          </cell>
          <cell r="F58">
            <v>0.47547575367235256</v>
          </cell>
          <cell r="G58">
            <v>771820</v>
          </cell>
          <cell r="H58">
            <v>361280.1</v>
          </cell>
          <cell r="I58">
            <v>0.1029192135778368</v>
          </cell>
          <cell r="J58">
            <v>600273.59</v>
          </cell>
          <cell r="K58">
            <v>64208.38</v>
          </cell>
          <cell r="L58">
            <v>106003.47462144452</v>
          </cell>
          <cell r="M58">
            <v>9304.0659842573677</v>
          </cell>
          <cell r="N58">
            <v>96785.781176101518</v>
          </cell>
          <cell r="O58">
            <v>8147.1906812784455</v>
          </cell>
          <cell r="P58">
            <v>96785.781176101518</v>
          </cell>
          <cell r="Q58">
            <v>8147.1906812784455</v>
          </cell>
          <cell r="R58">
            <v>299575.03697364754</v>
          </cell>
          <cell r="S58">
            <v>25598.447346814261</v>
          </cell>
          <cell r="T58">
            <v>299575.0369736476</v>
          </cell>
          <cell r="U58">
            <v>25598.447346814297</v>
          </cell>
          <cell r="V58">
            <v>599150.07394729508</v>
          </cell>
          <cell r="W58">
            <v>51196.894693628557</v>
          </cell>
          <cell r="X58">
            <v>1199423.6639472949</v>
          </cell>
          <cell r="Y58">
            <v>115405.27469362855</v>
          </cell>
          <cell r="Z58">
            <v>611133.07542624103</v>
          </cell>
          <cell r="AA58">
            <v>59408.405387501203</v>
          </cell>
          <cell r="AB58">
            <v>611133.07542624103</v>
          </cell>
          <cell r="AC58">
            <v>59408.405387501203</v>
          </cell>
          <cell r="AD58">
            <v>1222266.1508524821</v>
          </cell>
          <cell r="AE58">
            <v>118816.81077500241</v>
          </cell>
          <cell r="AF58" t="e">
            <v>#N/A</v>
          </cell>
          <cell r="AG58">
            <v>40724</v>
          </cell>
          <cell r="AH58" t="e">
            <v>#N/A</v>
          </cell>
          <cell r="AI58" t="e">
            <v>#N/A</v>
          </cell>
          <cell r="AJ58">
            <v>7969</v>
          </cell>
          <cell r="AK58">
            <v>237634</v>
          </cell>
          <cell r="AL58">
            <v>2473418.0652002227</v>
          </cell>
          <cell r="AM58">
            <v>191266.39453136903</v>
          </cell>
          <cell r="AN58">
            <v>0</v>
          </cell>
          <cell r="AO58">
            <v>0</v>
          </cell>
          <cell r="AP58">
            <v>706277.06462144444</v>
          </cell>
          <cell r="AQ58">
            <v>73512.445984257371</v>
          </cell>
          <cell r="AR58">
            <v>803062.84579754598</v>
          </cell>
          <cell r="AS58">
            <v>81659.636665535814</v>
          </cell>
          <cell r="AT58">
            <v>899848.62697364751</v>
          </cell>
          <cell r="AU58">
            <v>89806.827346814258</v>
          </cell>
          <cell r="AV58">
            <v>1199423.6639472949</v>
          </cell>
          <cell r="AW58">
            <v>115405.27469362855</v>
          </cell>
        </row>
        <row r="59">
          <cell r="B59" t="str">
            <v>033407</v>
          </cell>
          <cell r="C59" t="str">
            <v>BAYSIDE GREENWASTE</v>
          </cell>
          <cell r="D59">
            <v>3245240</v>
          </cell>
          <cell r="E59">
            <v>1683860.54</v>
          </cell>
          <cell r="F59">
            <v>0.4875942658437411</v>
          </cell>
          <cell r="G59">
            <v>357980</v>
          </cell>
          <cell r="H59">
            <v>204411.96</v>
          </cell>
          <cell r="I59">
            <v>0.12398606291085666</v>
          </cell>
          <cell r="J59">
            <v>243563.07</v>
          </cell>
          <cell r="K59">
            <v>27293.67</v>
          </cell>
          <cell r="L59">
            <v>42962.388989224572</v>
          </cell>
          <cell r="M59">
            <v>4853.7392044664575</v>
          </cell>
          <cell r="N59">
            <v>39226.529077118095</v>
          </cell>
          <cell r="O59">
            <v>4388.1966649476317</v>
          </cell>
          <cell r="P59">
            <v>39226.529077118095</v>
          </cell>
          <cell r="Q59">
            <v>4388.1966649476317</v>
          </cell>
          <cell r="R59">
            <v>121415.44714346077</v>
          </cell>
          <cell r="S59">
            <v>13630.132534361721</v>
          </cell>
          <cell r="T59">
            <v>121415.44714346077</v>
          </cell>
          <cell r="U59">
            <v>13630.132534361717</v>
          </cell>
          <cell r="V59">
            <v>242830.89428692154</v>
          </cell>
          <cell r="W59">
            <v>27260.265068723438</v>
          </cell>
          <cell r="X59">
            <v>486393.96428692155</v>
          </cell>
          <cell r="Y59">
            <v>54553.93506872344</v>
          </cell>
          <cell r="Z59">
            <v>247687.51217265998</v>
          </cell>
          <cell r="AA59">
            <v>27805.470370097904</v>
          </cell>
          <cell r="AB59">
            <v>247687.51217265998</v>
          </cell>
          <cell r="AC59">
            <v>27805.470370097904</v>
          </cell>
          <cell r="AD59">
            <v>495375.02434531995</v>
          </cell>
          <cell r="AE59">
            <v>55610.940740195809</v>
          </cell>
          <cell r="AF59" t="e">
            <v>#N/A</v>
          </cell>
          <cell r="AG59">
            <v>40724</v>
          </cell>
          <cell r="AH59" t="e">
            <v>#N/A</v>
          </cell>
          <cell r="AI59" t="e">
            <v>#N/A</v>
          </cell>
          <cell r="AJ59">
            <v>5064</v>
          </cell>
          <cell r="AK59">
            <v>111222</v>
          </cell>
          <cell r="AL59">
            <v>945654.62136775861</v>
          </cell>
          <cell r="AM59">
            <v>121540.75419108075</v>
          </cell>
          <cell r="AN59">
            <v>0</v>
          </cell>
          <cell r="AO59">
            <v>0</v>
          </cell>
          <cell r="AP59">
            <v>286525.45898922457</v>
          </cell>
          <cell r="AQ59">
            <v>32147.409204466458</v>
          </cell>
          <cell r="AR59">
            <v>325751.98806634266</v>
          </cell>
          <cell r="AS59">
            <v>36535.605869414088</v>
          </cell>
          <cell r="AT59">
            <v>364978.51714346075</v>
          </cell>
          <cell r="AU59">
            <v>40923.802534361719</v>
          </cell>
          <cell r="AV59">
            <v>486393.96428692155</v>
          </cell>
          <cell r="AW59">
            <v>54553.93506872344</v>
          </cell>
        </row>
        <row r="60">
          <cell r="B60" t="str">
            <v>033501</v>
          </cell>
          <cell r="C60" t="str">
            <v>GLEN EIRA DOMESTIC</v>
          </cell>
          <cell r="D60">
            <v>11974506</v>
          </cell>
          <cell r="E60">
            <v>9075997.4199999999</v>
          </cell>
          <cell r="F60">
            <v>0.23912205057396302</v>
          </cell>
          <cell r="G60">
            <v>983554</v>
          </cell>
          <cell r="H60">
            <v>713224.4</v>
          </cell>
          <cell r="I60">
            <v>8.9487607624889998E-2</v>
          </cell>
          <cell r="J60">
            <v>982992.12</v>
          </cell>
          <cell r="K60">
            <v>80040</v>
          </cell>
          <cell r="L60">
            <v>173557.99072458749</v>
          </cell>
          <cell r="M60">
            <v>11796.747697965482</v>
          </cell>
          <cell r="N60">
            <v>158465.99153114512</v>
          </cell>
          <cell r="O60">
            <v>10466.595724229323</v>
          </cell>
          <cell r="P60">
            <v>158465.99153114512</v>
          </cell>
          <cell r="Q60">
            <v>10466.595724229323</v>
          </cell>
          <cell r="R60">
            <v>490489.9737868777</v>
          </cell>
          <cell r="S60">
            <v>32729.939146424127</v>
          </cell>
          <cell r="T60">
            <v>490489.97378687776</v>
          </cell>
          <cell r="U60">
            <v>32729.939146424218</v>
          </cell>
          <cell r="V60">
            <v>980979.9475737554</v>
          </cell>
          <cell r="W60">
            <v>65459.878292848342</v>
          </cell>
          <cell r="X60">
            <v>1963972.0675737555</v>
          </cell>
          <cell r="Y60">
            <v>145499.87829284836</v>
          </cell>
          <cell r="Z60">
            <v>1000599.5465252305</v>
          </cell>
          <cell r="AA60">
            <v>74029.338958705237</v>
          </cell>
          <cell r="AB60">
            <v>1000599.5465252305</v>
          </cell>
          <cell r="AC60">
            <v>74029.338958705237</v>
          </cell>
          <cell r="AD60">
            <v>2001199.093050461</v>
          </cell>
          <cell r="AE60">
            <v>148058.67791741047</v>
          </cell>
          <cell r="AF60" t="e">
            <v>#N/A</v>
          </cell>
          <cell r="AG60">
            <v>41090</v>
          </cell>
          <cell r="AH60" t="e">
            <v>#N/A</v>
          </cell>
          <cell r="AI60" t="e">
            <v>#N/A</v>
          </cell>
          <cell r="AJ60">
            <v>13881</v>
          </cell>
          <cell r="AK60">
            <v>444176</v>
          </cell>
          <cell r="AL60">
            <v>6093818.3793757837</v>
          </cell>
          <cell r="AM60">
            <v>499705.84378974116</v>
          </cell>
          <cell r="AN60">
            <v>0</v>
          </cell>
          <cell r="AO60">
            <v>0</v>
          </cell>
          <cell r="AP60">
            <v>1156550.1107245875</v>
          </cell>
          <cell r="AQ60">
            <v>91836.747697965475</v>
          </cell>
          <cell r="AR60">
            <v>1315016.1022557325</v>
          </cell>
          <cell r="AS60">
            <v>102303.3434221948</v>
          </cell>
          <cell r="AT60">
            <v>1473482.0937868776</v>
          </cell>
          <cell r="AU60">
            <v>112769.93914642412</v>
          </cell>
          <cell r="AV60">
            <v>1963972.0675737555</v>
          </cell>
          <cell r="AW60">
            <v>145499.87829284836</v>
          </cell>
        </row>
        <row r="61">
          <cell r="B61" t="str">
            <v>033504</v>
          </cell>
          <cell r="C61" t="str">
            <v>GLEN EIRA RECYCLING</v>
          </cell>
          <cell r="D61">
            <v>7997392</v>
          </cell>
          <cell r="E61">
            <v>6037516.29</v>
          </cell>
          <cell r="F61">
            <v>0.24148850328991034</v>
          </cell>
          <cell r="G61">
            <v>765584</v>
          </cell>
          <cell r="H61">
            <v>552106.78</v>
          </cell>
          <cell r="I61">
            <v>0.10586343000256644</v>
          </cell>
          <cell r="J61">
            <v>671237.41</v>
          </cell>
          <cell r="K61">
            <v>57272.1</v>
          </cell>
          <cell r="L61">
            <v>118326.2763454266</v>
          </cell>
          <cell r="M61">
            <v>10322.073039373638</v>
          </cell>
          <cell r="N61">
            <v>108037.03492408516</v>
          </cell>
          <cell r="O61">
            <v>9424.5014707324572</v>
          </cell>
          <cell r="P61">
            <v>108037.03492408516</v>
          </cell>
          <cell r="Q61">
            <v>9424.5014707324572</v>
          </cell>
          <cell r="R61">
            <v>334400.34619359695</v>
          </cell>
          <cell r="S61">
            <v>29171.075980838552</v>
          </cell>
          <cell r="T61">
            <v>334400.34619359695</v>
          </cell>
          <cell r="U61">
            <v>29171.075980838534</v>
          </cell>
          <cell r="V61">
            <v>668800.69238719391</v>
          </cell>
          <cell r="W61">
            <v>58342.151961677082</v>
          </cell>
          <cell r="X61">
            <v>1340038.1023871941</v>
          </cell>
          <cell r="Y61">
            <v>115614.25196167707</v>
          </cell>
          <cell r="Z61">
            <v>682176.70623493777</v>
          </cell>
          <cell r="AA61">
            <v>59508.99500091056</v>
          </cell>
          <cell r="AB61">
            <v>682176.70623493777</v>
          </cell>
          <cell r="AC61">
            <v>59508.99500091056</v>
          </cell>
          <cell r="AD61">
            <v>1364353.4124698755</v>
          </cell>
          <cell r="AE61">
            <v>119017.99000182112</v>
          </cell>
          <cell r="AF61" t="e">
            <v>#N/A</v>
          </cell>
          <cell r="AG61">
            <v>41090</v>
          </cell>
          <cell r="AH61" t="e">
            <v>#N/A</v>
          </cell>
          <cell r="AI61" t="e">
            <v>#N/A</v>
          </cell>
          <cell r="AJ61">
            <v>10410</v>
          </cell>
          <cell r="AK61">
            <v>357054</v>
          </cell>
          <cell r="AL61">
            <v>4004362.1851429301</v>
          </cell>
          <cell r="AM61">
            <v>374746.63803650183</v>
          </cell>
          <cell r="AN61">
            <v>0</v>
          </cell>
          <cell r="AO61">
            <v>0</v>
          </cell>
          <cell r="AP61">
            <v>789563.6863454266</v>
          </cell>
          <cell r="AQ61">
            <v>67594.173039373636</v>
          </cell>
          <cell r="AR61">
            <v>897600.72126951173</v>
          </cell>
          <cell r="AS61">
            <v>77018.674510106095</v>
          </cell>
          <cell r="AT61">
            <v>1005637.7561935969</v>
          </cell>
          <cell r="AU61">
            <v>86443.175980838554</v>
          </cell>
          <cell r="AV61">
            <v>1340038.1023871941</v>
          </cell>
          <cell r="AW61">
            <v>115614.25196167707</v>
          </cell>
        </row>
        <row r="62">
          <cell r="B62" t="str">
            <v>033507</v>
          </cell>
          <cell r="C62" t="str">
            <v>GLEN EIRA GREENWASTE</v>
          </cell>
          <cell r="D62">
            <v>2043737</v>
          </cell>
          <cell r="E62">
            <v>1593153.16</v>
          </cell>
          <cell r="F62">
            <v>0.22085012763443326</v>
          </cell>
          <cell r="G62">
            <v>269921</v>
          </cell>
          <cell r="H62">
            <v>211084.65</v>
          </cell>
          <cell r="I62">
            <v>0.15216967261542347</v>
          </cell>
          <cell r="J62">
            <v>173568.55</v>
          </cell>
          <cell r="K62">
            <v>31208.66</v>
          </cell>
          <cell r="L62">
            <v>28918.594636840247</v>
          </cell>
          <cell r="M62">
            <v>4055.5995838822923</v>
          </cell>
          <cell r="N62">
            <v>26403.934233636752</v>
          </cell>
          <cell r="O62">
            <v>3702.9387505012251</v>
          </cell>
          <cell r="P62">
            <v>26403.934233636752</v>
          </cell>
          <cell r="Q62">
            <v>3702.9387505012251</v>
          </cell>
          <cell r="R62">
            <v>81726.463104113747</v>
          </cell>
          <cell r="S62">
            <v>11461.477084884742</v>
          </cell>
          <cell r="T62">
            <v>81726.463104113762</v>
          </cell>
          <cell r="U62">
            <v>11461.477084884742</v>
          </cell>
          <cell r="V62">
            <v>163452.92620822752</v>
          </cell>
          <cell r="W62">
            <v>22922.954169769484</v>
          </cell>
          <cell r="X62">
            <v>337021.47620822751</v>
          </cell>
          <cell r="Y62">
            <v>54131.614169769484</v>
          </cell>
          <cell r="Z62">
            <v>166721.98473239204</v>
          </cell>
          <cell r="AA62">
            <v>23381.413253164868</v>
          </cell>
          <cell r="AB62">
            <v>166721.98473239204</v>
          </cell>
          <cell r="AC62">
            <v>23381.413253164868</v>
          </cell>
          <cell r="AD62">
            <v>333443.96946478408</v>
          </cell>
          <cell r="AE62">
            <v>46762.826506329737</v>
          </cell>
          <cell r="AF62" t="e">
            <v>#N/A</v>
          </cell>
          <cell r="AG62">
            <v>41090</v>
          </cell>
          <cell r="AH62" t="e">
            <v>#N/A</v>
          </cell>
          <cell r="AI62" t="e">
            <v>#N/A</v>
          </cell>
          <cell r="AJ62">
            <v>3928</v>
          </cell>
          <cell r="AK62">
            <v>140288</v>
          </cell>
          <cell r="AL62">
            <v>1096256.2643269883</v>
          </cell>
          <cell r="AM62">
            <v>141398.86932390078</v>
          </cell>
          <cell r="AN62">
            <v>0</v>
          </cell>
          <cell r="AO62">
            <v>0</v>
          </cell>
          <cell r="AP62">
            <v>202487.14463684024</v>
          </cell>
          <cell r="AQ62">
            <v>35264.259583882289</v>
          </cell>
          <cell r="AR62">
            <v>228891.07887047698</v>
          </cell>
          <cell r="AS62">
            <v>38967.198334383516</v>
          </cell>
          <cell r="AT62">
            <v>255295.01310411372</v>
          </cell>
          <cell r="AU62">
            <v>42670.137084884744</v>
          </cell>
          <cell r="AV62">
            <v>337021.47620822751</v>
          </cell>
          <cell r="AW62">
            <v>54131.614169769484</v>
          </cell>
        </row>
        <row r="63">
          <cell r="B63" t="str">
            <v>033601</v>
          </cell>
          <cell r="C63" t="str">
            <v>KNOX DOMESTIC</v>
          </cell>
          <cell r="D63">
            <v>13238040</v>
          </cell>
          <cell r="E63">
            <v>10409512.57</v>
          </cell>
          <cell r="F63">
            <v>0.21400675730271293</v>
          </cell>
          <cell r="G63">
            <v>1913995</v>
          </cell>
          <cell r="H63">
            <v>1508889.72</v>
          </cell>
          <cell r="I63">
            <v>0.1690204339527086</v>
          </cell>
          <cell r="J63">
            <v>1156103.43</v>
          </cell>
          <cell r="K63">
            <v>164476.82</v>
          </cell>
          <cell r="L63">
            <v>202280.64831273834</v>
          </cell>
          <cell r="M63">
            <v>28810.974181780573</v>
          </cell>
          <cell r="N63">
            <v>184691.02672032634</v>
          </cell>
          <cell r="O63">
            <v>25979.585122495326</v>
          </cell>
          <cell r="P63">
            <v>184691.02672032634</v>
          </cell>
          <cell r="Q63">
            <v>25979.585122495326</v>
          </cell>
          <cell r="R63">
            <v>571662.70175339095</v>
          </cell>
          <cell r="S63">
            <v>80770.144426771221</v>
          </cell>
          <cell r="T63">
            <v>571662.70175339095</v>
          </cell>
          <cell r="U63">
            <v>80770.144426771221</v>
          </cell>
          <cell r="V63">
            <v>1143325.4035067819</v>
          </cell>
          <cell r="W63">
            <v>161540.28885354244</v>
          </cell>
          <cell r="X63">
            <v>2299428.8335067816</v>
          </cell>
          <cell r="Y63">
            <v>326017.10885354248</v>
          </cell>
          <cell r="Z63">
            <v>1166191.9115769179</v>
          </cell>
          <cell r="AA63">
            <v>165277.09623061313</v>
          </cell>
          <cell r="AB63">
            <v>1166191.9115769179</v>
          </cell>
          <cell r="AC63">
            <v>165277.09623061313</v>
          </cell>
          <cell r="AD63">
            <v>2332383.8231538357</v>
          </cell>
          <cell r="AE63">
            <v>330554.19246122625</v>
          </cell>
          <cell r="AF63" t="e">
            <v>#N/A</v>
          </cell>
          <cell r="AG63">
            <v>41090</v>
          </cell>
          <cell r="AH63" t="e">
            <v>#N/A</v>
          </cell>
          <cell r="AI63" t="e">
            <v>#N/A</v>
          </cell>
          <cell r="AJ63">
            <v>28244</v>
          </cell>
          <cell r="AK63">
            <v>991663</v>
          </cell>
          <cell r="AL63">
            <v>6933803.3433393827</v>
          </cell>
          <cell r="AM63">
            <v>1016795.2386852313</v>
          </cell>
          <cell r="AN63">
            <v>0</v>
          </cell>
          <cell r="AO63">
            <v>0</v>
          </cell>
          <cell r="AP63">
            <v>1358384.0783127383</v>
          </cell>
          <cell r="AQ63">
            <v>193287.79418178057</v>
          </cell>
          <cell r="AR63">
            <v>1543075.1050330647</v>
          </cell>
          <cell r="AS63">
            <v>219267.37930427591</v>
          </cell>
          <cell r="AT63">
            <v>1727766.1317533911</v>
          </cell>
          <cell r="AU63">
            <v>245246.96442677124</v>
          </cell>
          <cell r="AV63">
            <v>2299428.8335067816</v>
          </cell>
          <cell r="AW63">
            <v>326017.10885354248</v>
          </cell>
        </row>
        <row r="64">
          <cell r="B64" t="str">
            <v>033604</v>
          </cell>
          <cell r="C64" t="str">
            <v>KNOX RECYCLING</v>
          </cell>
          <cell r="D64">
            <v>6805647</v>
          </cell>
          <cell r="E64">
            <v>5393274.2599999998</v>
          </cell>
          <cell r="F64">
            <v>0.21080022135745757</v>
          </cell>
          <cell r="G64">
            <v>585843</v>
          </cell>
          <cell r="H64">
            <v>484606.32</v>
          </cell>
          <cell r="I64">
            <v>9.4189945535261235E-2</v>
          </cell>
          <cell r="J64">
            <v>594053.93999999994</v>
          </cell>
          <cell r="K64">
            <v>59046.34</v>
          </cell>
          <cell r="L64">
            <v>103412.21701231138</v>
          </cell>
          <cell r="M64">
            <v>10479.459488597195</v>
          </cell>
          <cell r="N64">
            <v>94419.850315588657</v>
          </cell>
          <cell r="O64">
            <v>9380.4899678496058</v>
          </cell>
          <cell r="P64">
            <v>94419.850315588657</v>
          </cell>
          <cell r="Q64">
            <v>9380.4899678496058</v>
          </cell>
          <cell r="R64">
            <v>292251.91764348868</v>
          </cell>
          <cell r="S64">
            <v>29240.439424296404</v>
          </cell>
          <cell r="T64">
            <v>292251.91764348868</v>
          </cell>
          <cell r="U64">
            <v>29240.439424296426</v>
          </cell>
          <cell r="V64">
            <v>584503.83528697735</v>
          </cell>
          <cell r="W64">
            <v>58480.878848592831</v>
          </cell>
          <cell r="X64">
            <v>1178557.7752869772</v>
          </cell>
          <cell r="Y64">
            <v>117527.21884859283</v>
          </cell>
          <cell r="Z64">
            <v>596193.91199271695</v>
          </cell>
          <cell r="AA64">
            <v>58273.481125564729</v>
          </cell>
          <cell r="AB64">
            <v>596193.91199271695</v>
          </cell>
          <cell r="AC64">
            <v>58273.481125564729</v>
          </cell>
          <cell r="AD64">
            <v>1192387.8239854339</v>
          </cell>
          <cell r="AE64">
            <v>116546.96225112946</v>
          </cell>
          <cell r="AF64" t="e">
            <v>#N/A</v>
          </cell>
          <cell r="AG64">
            <v>41090</v>
          </cell>
          <cell r="AH64" t="e">
            <v>#N/A</v>
          </cell>
          <cell r="AI64" t="e">
            <v>#N/A</v>
          </cell>
          <cell r="AJ64">
            <v>8599</v>
          </cell>
          <cell r="AK64">
            <v>349641</v>
          </cell>
          <cell r="AL64">
            <v>3616382.6007275879</v>
          </cell>
          <cell r="AM64">
            <v>309578.47890027775</v>
          </cell>
          <cell r="AN64">
            <v>0</v>
          </cell>
          <cell r="AO64">
            <v>0</v>
          </cell>
          <cell r="AP64">
            <v>697466.15701231128</v>
          </cell>
          <cell r="AQ64">
            <v>69525.799488597186</v>
          </cell>
          <cell r="AR64">
            <v>791886.00732789992</v>
          </cell>
          <cell r="AS64">
            <v>78906.289456446786</v>
          </cell>
          <cell r="AT64">
            <v>886305.85764348856</v>
          </cell>
          <cell r="AU64">
            <v>88286.779424296386</v>
          </cell>
          <cell r="AV64">
            <v>1178557.7752869772</v>
          </cell>
          <cell r="AW64">
            <v>117527.21884859283</v>
          </cell>
        </row>
        <row r="65">
          <cell r="B65" t="str">
            <v>033607</v>
          </cell>
          <cell r="C65" t="str">
            <v>KNOX GREENWASTE</v>
          </cell>
          <cell r="D65">
            <v>4777123</v>
          </cell>
          <cell r="E65">
            <v>3669176.35</v>
          </cell>
          <cell r="F65">
            <v>0.23292773240757414</v>
          </cell>
          <cell r="G65">
            <v>751598</v>
          </cell>
          <cell r="H65">
            <v>581307.76</v>
          </cell>
          <cell r="I65">
            <v>0.18670806913383969</v>
          </cell>
          <cell r="J65">
            <v>453491.06</v>
          </cell>
          <cell r="K65">
            <v>71640.850000000006</v>
          </cell>
          <cell r="L65">
            <v>79037.792685066001</v>
          </cell>
          <cell r="M65">
            <v>12361.807672320945</v>
          </cell>
          <cell r="N65">
            <v>72164.941147234174</v>
          </cell>
          <cell r="O65">
            <v>11286.867874727812</v>
          </cell>
          <cell r="P65">
            <v>72164.941147234174</v>
          </cell>
          <cell r="Q65">
            <v>11286.867874727812</v>
          </cell>
          <cell r="R65">
            <v>223367.67497953435</v>
          </cell>
          <cell r="S65">
            <v>34935.543421776572</v>
          </cell>
          <cell r="T65">
            <v>223367.67497953435</v>
          </cell>
          <cell r="U65">
            <v>34935.543421776543</v>
          </cell>
          <cell r="V65">
            <v>446735.3499590687</v>
          </cell>
          <cell r="W65">
            <v>69871.086843553116</v>
          </cell>
          <cell r="X65">
            <v>900226.40995906875</v>
          </cell>
          <cell r="Y65">
            <v>141511.93684355312</v>
          </cell>
          <cell r="Z65">
            <v>455670.05695825006</v>
          </cell>
          <cell r="AA65">
            <v>71268.508580424197</v>
          </cell>
          <cell r="AB65">
            <v>455670.05695825006</v>
          </cell>
          <cell r="AC65">
            <v>71268.508580424197</v>
          </cell>
          <cell r="AD65">
            <v>911340.11391650012</v>
          </cell>
          <cell r="AE65">
            <v>142537.01716084839</v>
          </cell>
          <cell r="AF65" t="e">
            <v>#N/A</v>
          </cell>
          <cell r="AG65">
            <v>41090</v>
          </cell>
          <cell r="AH65" t="e">
            <v>#N/A</v>
          </cell>
          <cell r="AI65" t="e">
            <v>#N/A</v>
          </cell>
          <cell r="AJ65">
            <v>10247</v>
          </cell>
          <cell r="AK65">
            <v>427611</v>
          </cell>
          <cell r="AL65">
            <v>2311100.8861244316</v>
          </cell>
          <cell r="AM65">
            <v>368899.65599559853</v>
          </cell>
          <cell r="AN65">
            <v>0</v>
          </cell>
          <cell r="AO65">
            <v>0</v>
          </cell>
          <cell r="AP65">
            <v>532528.85268506594</v>
          </cell>
          <cell r="AQ65">
            <v>84002.657672320958</v>
          </cell>
          <cell r="AR65">
            <v>604693.79383230011</v>
          </cell>
          <cell r="AS65">
            <v>95289.525547048775</v>
          </cell>
          <cell r="AT65">
            <v>676858.73497953429</v>
          </cell>
          <cell r="AU65">
            <v>106576.39342177659</v>
          </cell>
          <cell r="AV65">
            <v>900226.40995906875</v>
          </cell>
          <cell r="AW65">
            <v>141511.93684355312</v>
          </cell>
        </row>
        <row r="66">
          <cell r="B66" t="str">
            <v>033701</v>
          </cell>
          <cell r="C66" t="str">
            <v>MOONEE VALLEY DOMESTIC</v>
          </cell>
          <cell r="D66">
            <v>9082060</v>
          </cell>
          <cell r="E66">
            <v>9082060</v>
          </cell>
          <cell r="F66">
            <v>0</v>
          </cell>
          <cell r="G66">
            <v>1184617</v>
          </cell>
          <cell r="H66">
            <v>1184617</v>
          </cell>
          <cell r="I66">
            <v>0.1500000696427945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146710.20000000001</v>
          </cell>
          <cell r="Q66">
            <v>19072.326000000001</v>
          </cell>
          <cell r="R66">
            <v>146710.20000000001</v>
          </cell>
          <cell r="S66">
            <v>19072.326000000001</v>
          </cell>
          <cell r="T66">
            <v>454103</v>
          </cell>
          <cell r="U66">
            <v>59033.39</v>
          </cell>
          <cell r="V66">
            <v>600813.19999999995</v>
          </cell>
          <cell r="W66">
            <v>78105.716</v>
          </cell>
          <cell r="X66">
            <v>600813.19999999995</v>
          </cell>
          <cell r="Y66">
            <v>78105.716</v>
          </cell>
          <cell r="Z66">
            <v>908206</v>
          </cell>
          <cell r="AA66">
            <v>118461.7</v>
          </cell>
          <cell r="AB66">
            <v>908206</v>
          </cell>
          <cell r="AC66">
            <v>118461.7</v>
          </cell>
          <cell r="AD66">
            <v>1816412</v>
          </cell>
          <cell r="AE66">
            <v>236923.4</v>
          </cell>
          <cell r="AF66" t="e">
            <v>#N/A</v>
          </cell>
          <cell r="AG66">
            <v>41333</v>
          </cell>
          <cell r="AH66" t="e">
            <v>#N/A</v>
          </cell>
          <cell r="AI66" t="e">
            <v>#N/A</v>
          </cell>
          <cell r="AJ66">
            <v>19763</v>
          </cell>
          <cell r="AK66">
            <v>868719</v>
          </cell>
          <cell r="AL66">
            <v>6664834.8000000007</v>
          </cell>
          <cell r="AM66">
            <v>869587.88399999996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146710.20000000001</v>
          </cell>
          <cell r="AU66">
            <v>19072.326000000001</v>
          </cell>
          <cell r="AV66">
            <v>600813.19999999995</v>
          </cell>
          <cell r="AW66">
            <v>78105.716</v>
          </cell>
        </row>
        <row r="67">
          <cell r="B67" t="str">
            <v>032090</v>
          </cell>
          <cell r="C67" t="str">
            <v>MELBOURNE ADMINISTRATION</v>
          </cell>
          <cell r="D67">
            <v>0</v>
          </cell>
          <cell r="E67">
            <v>0</v>
          </cell>
          <cell r="F67">
            <v>0.24996928315214142</v>
          </cell>
          <cell r="G67">
            <v>-4449322.1566070337</v>
          </cell>
          <cell r="H67">
            <v>-3337128.2866070336</v>
          </cell>
          <cell r="I67">
            <v>-1</v>
          </cell>
          <cell r="J67">
            <v>0</v>
          </cell>
          <cell r="K67">
            <v>-1112193.8700000001</v>
          </cell>
          <cell r="L67">
            <v>0</v>
          </cell>
          <cell r="M67">
            <v>-175491.86222920826</v>
          </cell>
          <cell r="N67">
            <v>0</v>
          </cell>
          <cell r="O67">
            <v>-166666.48290492929</v>
          </cell>
          <cell r="P67">
            <v>0</v>
          </cell>
          <cell r="Q67">
            <v>-166666.48290492929</v>
          </cell>
          <cell r="R67">
            <v>0</v>
          </cell>
          <cell r="S67">
            <v>-508824.82803906687</v>
          </cell>
          <cell r="U67">
            <v>-508824.82803906687</v>
          </cell>
          <cell r="V67">
            <v>0</v>
          </cell>
          <cell r="W67">
            <v>-1017649.6560781337</v>
          </cell>
          <cell r="X67">
            <v>0</v>
          </cell>
          <cell r="Y67">
            <v>-2129843.5260781338</v>
          </cell>
          <cell r="Z67">
            <v>0</v>
          </cell>
          <cell r="AA67">
            <v>-1159739.3152644499</v>
          </cell>
          <cell r="AB67">
            <v>0</v>
          </cell>
          <cell r="AC67">
            <v>-1159739.3152644499</v>
          </cell>
          <cell r="AD67">
            <v>0</v>
          </cell>
          <cell r="AE67">
            <v>-2319478.6305288998</v>
          </cell>
          <cell r="AF67" t="e">
            <v>#N/A</v>
          </cell>
          <cell r="AG67">
            <v>0</v>
          </cell>
          <cell r="AH67" t="e">
            <v>#N/A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-1287685.7322292083</v>
          </cell>
          <cell r="AR67">
            <v>0</v>
          </cell>
          <cell r="AS67">
            <v>-1454352.2151341375</v>
          </cell>
          <cell r="AT67">
            <v>0</v>
          </cell>
          <cell r="AU67">
            <v>-1621018.6980390667</v>
          </cell>
          <cell r="AV67">
            <v>0</v>
          </cell>
          <cell r="AW67">
            <v>-2129843.5260781338</v>
          </cell>
        </row>
        <row r="68">
          <cell r="C68" t="str">
            <v>SUBTOTAL MELBOURNE C&amp;R</v>
          </cell>
          <cell r="D68">
            <v>229380381.40386581</v>
          </cell>
          <cell r="E68">
            <v>108066324.95386578</v>
          </cell>
          <cell r="G68">
            <v>16332982.292393269</v>
          </cell>
          <cell r="H68">
            <v>7163678.0323932702</v>
          </cell>
          <cell r="J68">
            <v>18854843.239999995</v>
          </cell>
          <cell r="K68">
            <v>522969.59</v>
          </cell>
          <cell r="L68">
            <v>3309380.5850929716</v>
          </cell>
          <cell r="M68">
            <v>118227.74117016382</v>
          </cell>
          <cell r="N68">
            <v>3010447.0742153227</v>
          </cell>
          <cell r="O68">
            <v>80683.222807540849</v>
          </cell>
          <cell r="P68">
            <v>3157157.2742153229</v>
          </cell>
          <cell r="Q68">
            <v>99755.548807540821</v>
          </cell>
          <cell r="R68">
            <v>9476984.9335236158</v>
          </cell>
          <cell r="S68">
            <v>298666.51278524555</v>
          </cell>
          <cell r="T68">
            <v>9784377.7335236166</v>
          </cell>
          <cell r="U68">
            <v>338457.57678524579</v>
          </cell>
          <cell r="V68">
            <v>19261362.667047232</v>
          </cell>
          <cell r="W68">
            <v>637124.08957049111</v>
          </cell>
          <cell r="X68">
            <v>38116205.907047242</v>
          </cell>
          <cell r="Y68">
            <v>1160093.679570491</v>
          </cell>
          <cell r="Z68">
            <v>19968666.10728696</v>
          </cell>
          <cell r="AA68">
            <v>593603.77377131092</v>
          </cell>
          <cell r="AB68">
            <v>18640628.067003164</v>
          </cell>
          <cell r="AC68">
            <v>452220.91376082064</v>
          </cell>
          <cell r="AD68">
            <v>38609294.174290121</v>
          </cell>
          <cell r="AE68">
            <v>1045824.6875321316</v>
          </cell>
          <cell r="AL68">
            <v>50195668.112528443</v>
          </cell>
          <cell r="AM68">
            <v>5480729.2552906461</v>
          </cell>
          <cell r="AN68">
            <v>0</v>
          </cell>
          <cell r="AO68">
            <v>0</v>
          </cell>
          <cell r="AP68">
            <v>22164223.825092971</v>
          </cell>
          <cell r="AQ68">
            <v>641197.33117016382</v>
          </cell>
          <cell r="AR68">
            <v>25174670.899308287</v>
          </cell>
          <cell r="AS68">
            <v>721880.55397770437</v>
          </cell>
          <cell r="AT68">
            <v>28331828.17352362</v>
          </cell>
          <cell r="AU68">
            <v>821636.10278524528</v>
          </cell>
          <cell r="AV68">
            <v>38116205.907047242</v>
          </cell>
          <cell r="AW68">
            <v>1160093.679570491</v>
          </cell>
        </row>
        <row r="69">
          <cell r="C69" t="str">
            <v>CONTRACT</v>
          </cell>
          <cell r="D69">
            <v>217071577.15896469</v>
          </cell>
          <cell r="E69">
            <v>104227649.56896466</v>
          </cell>
          <cell r="F69">
            <v>0.40624781877606547</v>
          </cell>
          <cell r="G69">
            <v>19520901.767296389</v>
          </cell>
          <cell r="H69">
            <v>9996810.7772963885</v>
          </cell>
          <cell r="I69">
            <v>7.9543008520439606E-2</v>
          </cell>
          <cell r="J69">
            <v>17580196.229999993</v>
          </cell>
          <cell r="K69">
            <v>1474541.49</v>
          </cell>
          <cell r="L69">
            <v>3085975.8941700826</v>
          </cell>
          <cell r="M69">
            <v>264093.24343178596</v>
          </cell>
          <cell r="N69">
            <v>2806468.8781552939</v>
          </cell>
          <cell r="O69">
            <v>220212.59443771755</v>
          </cell>
          <cell r="P69">
            <v>2953179.0781552941</v>
          </cell>
          <cell r="Q69">
            <v>239284.92043771752</v>
          </cell>
          <cell r="R69">
            <v>8845623.8504806682</v>
          </cell>
          <cell r="S69">
            <v>723590.75830722111</v>
          </cell>
          <cell r="T69">
            <v>9153016.650480669</v>
          </cell>
          <cell r="U69">
            <v>763381.82230722136</v>
          </cell>
          <cell r="V69">
            <v>17998640.500961337</v>
          </cell>
          <cell r="W69">
            <v>1486972.5806144422</v>
          </cell>
          <cell r="X69">
            <v>35578836.730961345</v>
          </cell>
          <cell r="Y69">
            <v>2961514.0706144422</v>
          </cell>
          <cell r="Z69">
            <v>18680689.497879349</v>
          </cell>
          <cell r="AA69">
            <v>1585245.9007008947</v>
          </cell>
          <cell r="AB69">
            <v>17352651.457595553</v>
          </cell>
          <cell r="AC69">
            <v>1443863.0406904044</v>
          </cell>
          <cell r="AD69">
            <v>36033340.955474898</v>
          </cell>
          <cell r="AE69">
            <v>3029108.941391299</v>
          </cell>
          <cell r="AL69">
            <v>50195668.112528443</v>
          </cell>
          <cell r="AM69">
            <v>5480729.2552906461</v>
          </cell>
          <cell r="AN69">
            <v>0</v>
          </cell>
          <cell r="AO69">
            <v>0</v>
          </cell>
          <cell r="AP69">
            <v>20666172.124170084</v>
          </cell>
          <cell r="AQ69">
            <v>1738634.7334317861</v>
          </cell>
          <cell r="AR69">
            <v>23472641.002325371</v>
          </cell>
          <cell r="AS69">
            <v>1958847.3278695031</v>
          </cell>
          <cell r="AT69">
            <v>26425820.080480672</v>
          </cell>
          <cell r="AU69">
            <v>2198132.2483072206</v>
          </cell>
          <cell r="AV69">
            <v>35578836.730961345</v>
          </cell>
          <cell r="AW69">
            <v>2961514.0706144422</v>
          </cell>
        </row>
        <row r="70">
          <cell r="C70" t="str">
            <v>COMMERCIAL</v>
          </cell>
          <cell r="D70">
            <v>12308804.244901115</v>
          </cell>
          <cell r="E70">
            <v>3838675.3849011157</v>
          </cell>
          <cell r="F70">
            <v>0.70582175335950403</v>
          </cell>
          <cell r="G70">
            <v>1261402.6817039151</v>
          </cell>
          <cell r="H70">
            <v>503995.54170391511</v>
          </cell>
          <cell r="I70">
            <v>7.8688497730798238E-2</v>
          </cell>
          <cell r="J70">
            <v>1274647.01</v>
          </cell>
          <cell r="K70">
            <v>160621.97</v>
          </cell>
          <cell r="L70">
            <v>223404.69092288881</v>
          </cell>
          <cell r="M70">
            <v>29626.359967586144</v>
          </cell>
          <cell r="N70">
            <v>203978.19606002897</v>
          </cell>
          <cell r="O70">
            <v>27137.11127475258</v>
          </cell>
          <cell r="P70">
            <v>203978.19606002897</v>
          </cell>
          <cell r="Q70">
            <v>27137.11127475258</v>
          </cell>
          <cell r="R70">
            <v>631361.08304294676</v>
          </cell>
          <cell r="S70">
            <v>83900.582517091301</v>
          </cell>
          <cell r="T70">
            <v>631361.08304294676</v>
          </cell>
          <cell r="U70">
            <v>83900.582517091272</v>
          </cell>
          <cell r="V70">
            <v>1262722.1660858935</v>
          </cell>
          <cell r="W70">
            <v>167801.16503418257</v>
          </cell>
          <cell r="X70">
            <v>2537369.1760858935</v>
          </cell>
          <cell r="Y70">
            <v>328423.13503418257</v>
          </cell>
          <cell r="Z70">
            <v>1287976.6094076114</v>
          </cell>
          <cell r="AA70">
            <v>168097.18833486622</v>
          </cell>
          <cell r="AB70">
            <v>1287976.6094076114</v>
          </cell>
          <cell r="AC70">
            <v>168097.18833486622</v>
          </cell>
          <cell r="AD70">
            <v>2575953.2188152228</v>
          </cell>
          <cell r="AE70">
            <v>336194.37666973245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1498051.7009228887</v>
          </cell>
          <cell r="AQ70">
            <v>190248.32996758615</v>
          </cell>
          <cell r="AR70">
            <v>1702029.8969829176</v>
          </cell>
          <cell r="AS70">
            <v>217385.44124233874</v>
          </cell>
          <cell r="AT70">
            <v>1906008.0930429464</v>
          </cell>
          <cell r="AU70">
            <v>244522.55251709133</v>
          </cell>
          <cell r="AV70">
            <v>2537369.1760858935</v>
          </cell>
          <cell r="AW70">
            <v>328423.13503418257</v>
          </cell>
        </row>
        <row r="71">
          <cell r="C71" t="str">
            <v>ADMINISTRATION</v>
          </cell>
          <cell r="D71">
            <v>0</v>
          </cell>
          <cell r="E71">
            <v>0</v>
          </cell>
          <cell r="F71">
            <v>0</v>
          </cell>
          <cell r="G71">
            <v>-4449322.1566070337</v>
          </cell>
          <cell r="H71">
            <v>-3337128.2866070336</v>
          </cell>
          <cell r="I71">
            <v>0</v>
          </cell>
          <cell r="J71">
            <v>0</v>
          </cell>
          <cell r="K71">
            <v>-1112193.8700000001</v>
          </cell>
          <cell r="L71">
            <v>0</v>
          </cell>
          <cell r="M71">
            <v>-175491.86222920826</v>
          </cell>
          <cell r="N71">
            <v>0</v>
          </cell>
          <cell r="O71">
            <v>-166666.48290492929</v>
          </cell>
          <cell r="P71">
            <v>0</v>
          </cell>
          <cell r="Q71">
            <v>-166666.48290492929</v>
          </cell>
          <cell r="R71">
            <v>0</v>
          </cell>
          <cell r="S71">
            <v>-508824.82803906687</v>
          </cell>
          <cell r="T71">
            <v>0</v>
          </cell>
          <cell r="U71">
            <v>-508824.82803906687</v>
          </cell>
          <cell r="V71">
            <v>0</v>
          </cell>
          <cell r="W71">
            <v>-1017649.6560781337</v>
          </cell>
          <cell r="X71">
            <v>0</v>
          </cell>
          <cell r="Y71">
            <v>-2129843.5260781338</v>
          </cell>
          <cell r="Z71">
            <v>0</v>
          </cell>
          <cell r="AA71">
            <v>-1159739.3152644499</v>
          </cell>
          <cell r="AB71">
            <v>0</v>
          </cell>
          <cell r="AC71">
            <v>-1159739.3152644499</v>
          </cell>
          <cell r="AD71">
            <v>0</v>
          </cell>
          <cell r="AE71">
            <v>-2319478.6305288998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-1287685.7322292083</v>
          </cell>
          <cell r="AR71">
            <v>0</v>
          </cell>
          <cell r="AS71">
            <v>-1454352.2151341375</v>
          </cell>
          <cell r="AT71">
            <v>0</v>
          </cell>
          <cell r="AU71">
            <v>-1621018.6980390667</v>
          </cell>
          <cell r="AV71">
            <v>0</v>
          </cell>
          <cell r="AW71">
            <v>-2129843.5260781338</v>
          </cell>
        </row>
        <row r="72">
          <cell r="B72" t="str">
            <v>TOTAL MELBOURNE C&amp;R</v>
          </cell>
          <cell r="D72">
            <v>229380381.40386581</v>
          </cell>
          <cell r="E72">
            <v>108066324.95386578</v>
          </cell>
          <cell r="G72">
            <v>16332982.292393269</v>
          </cell>
          <cell r="H72">
            <v>7163678.0323932702</v>
          </cell>
          <cell r="J72">
            <v>18854843.239999995</v>
          </cell>
          <cell r="K72">
            <v>522969.59</v>
          </cell>
          <cell r="L72">
            <v>3309380.5850929716</v>
          </cell>
          <cell r="M72">
            <v>118227.74117016382</v>
          </cell>
          <cell r="N72">
            <v>3010447.0742153227</v>
          </cell>
          <cell r="O72">
            <v>80683.222807540849</v>
          </cell>
          <cell r="P72">
            <v>3157157.2742153229</v>
          </cell>
          <cell r="Q72">
            <v>99755.548807540821</v>
          </cell>
          <cell r="R72">
            <v>9476984.9335236158</v>
          </cell>
          <cell r="S72">
            <v>298666.51278524555</v>
          </cell>
          <cell r="T72">
            <v>9784377.7335236166</v>
          </cell>
          <cell r="U72">
            <v>338457.57678524579</v>
          </cell>
          <cell r="V72">
            <v>19261362.667047232</v>
          </cell>
          <cell r="W72">
            <v>637124.08957049111</v>
          </cell>
          <cell r="X72">
            <v>38116205.907047242</v>
          </cell>
          <cell r="Y72">
            <v>1160093.679570491</v>
          </cell>
          <cell r="Z72">
            <v>19968666.10728696</v>
          </cell>
          <cell r="AA72">
            <v>593603.77377131092</v>
          </cell>
          <cell r="AB72">
            <v>18640628.067003164</v>
          </cell>
          <cell r="AC72">
            <v>452220.91376082064</v>
          </cell>
          <cell r="AD72">
            <v>38609294.174290121</v>
          </cell>
          <cell r="AE72">
            <v>1045824.6875321316</v>
          </cell>
          <cell r="AL72">
            <v>50195668.112528443</v>
          </cell>
          <cell r="AM72">
            <v>5480729.2552906461</v>
          </cell>
          <cell r="AN72">
            <v>0</v>
          </cell>
          <cell r="AO72">
            <v>0</v>
          </cell>
          <cell r="AP72">
            <v>22164223.825092971</v>
          </cell>
          <cell r="AQ72">
            <v>641197.33117016382</v>
          </cell>
          <cell r="AR72">
            <v>25174670.899308287</v>
          </cell>
          <cell r="AS72">
            <v>721880.55397770437</v>
          </cell>
          <cell r="AT72">
            <v>28331828.17352362</v>
          </cell>
          <cell r="AU72">
            <v>821636.10278524528</v>
          </cell>
          <cell r="AV72">
            <v>38116205.907047242</v>
          </cell>
          <cell r="AW72">
            <v>1160093.679570491</v>
          </cell>
        </row>
        <row r="73">
          <cell r="B73" t="str">
            <v>AUCKLAND C&amp;R</v>
          </cell>
        </row>
        <row r="74">
          <cell r="B74">
            <v>121104</v>
          </cell>
          <cell r="C74" t="str">
            <v>AUCKLAND C&amp;R</v>
          </cell>
          <cell r="D74">
            <v>32557869</v>
          </cell>
          <cell r="E74">
            <v>32557869</v>
          </cell>
          <cell r="F74">
            <v>0</v>
          </cell>
          <cell r="G74">
            <v>3555079</v>
          </cell>
          <cell r="H74">
            <v>3555079</v>
          </cell>
          <cell r="I74">
            <v>0.12257713826842176</v>
          </cell>
          <cell r="J74">
            <v>0</v>
          </cell>
          <cell r="K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2325562.0714285714</v>
          </cell>
          <cell r="AA74">
            <v>253934.21428571426</v>
          </cell>
          <cell r="AB74">
            <v>2325562.0714285714</v>
          </cell>
          <cell r="AC74">
            <v>253934.21428571426</v>
          </cell>
          <cell r="AD74">
            <v>4651124.1428571427</v>
          </cell>
          <cell r="AE74">
            <v>507868.42857142852</v>
          </cell>
          <cell r="AF74" t="e">
            <v>#N/A</v>
          </cell>
          <cell r="AG74">
            <v>42185</v>
          </cell>
          <cell r="AH74" t="e">
            <v>#N/A</v>
          </cell>
          <cell r="AI74" t="e">
            <v>#N/A</v>
          </cell>
          <cell r="AJ74">
            <v>42322</v>
          </cell>
          <cell r="AK74">
            <v>3047211</v>
          </cell>
          <cell r="AL74">
            <v>27906744.857142858</v>
          </cell>
          <cell r="AM74">
            <v>3047210.5714285714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</row>
        <row r="75">
          <cell r="B75" t="str">
            <v>TOTAL WASTE MANAGEMENT</v>
          </cell>
          <cell r="D75">
            <v>261938250.40386581</v>
          </cell>
          <cell r="E75">
            <v>140624193.95386577</v>
          </cell>
          <cell r="F75">
            <v>0</v>
          </cell>
          <cell r="G75">
            <v>19888061.292393267</v>
          </cell>
          <cell r="H75">
            <v>10718757.032393269</v>
          </cell>
          <cell r="J75">
            <v>18854843.239999995</v>
          </cell>
          <cell r="K75">
            <v>522969.59</v>
          </cell>
          <cell r="L75">
            <v>3309380.5850929716</v>
          </cell>
          <cell r="M75">
            <v>118227.74117016382</v>
          </cell>
          <cell r="N75">
            <v>3010447.0742153227</v>
          </cell>
          <cell r="O75">
            <v>80683.222807540849</v>
          </cell>
          <cell r="P75">
            <v>3157157.2742153229</v>
          </cell>
          <cell r="Q75">
            <v>99755.548807540821</v>
          </cell>
          <cell r="R75">
            <v>9476984.9335236158</v>
          </cell>
          <cell r="S75">
            <v>298666.51278524555</v>
          </cell>
          <cell r="T75">
            <v>9784377.7335236166</v>
          </cell>
          <cell r="U75">
            <v>338457.57678524579</v>
          </cell>
          <cell r="V75">
            <v>19261362.667047232</v>
          </cell>
          <cell r="W75">
            <v>637124.08957049111</v>
          </cell>
          <cell r="X75">
            <v>38116205.907047242</v>
          </cell>
          <cell r="Y75">
            <v>1160093.679570491</v>
          </cell>
          <cell r="Z75">
            <v>22294228.178715531</v>
          </cell>
          <cell r="AA75">
            <v>847537.98805702524</v>
          </cell>
          <cell r="AB75">
            <v>20966190.138431735</v>
          </cell>
          <cell r="AC75">
            <v>706155.12804653496</v>
          </cell>
          <cell r="AD75">
            <v>43260418.317147262</v>
          </cell>
          <cell r="AE75">
            <v>1553693.1161035602</v>
          </cell>
          <cell r="AL75">
            <v>78102412.969671309</v>
          </cell>
          <cell r="AM75">
            <v>8527939.826719217</v>
          </cell>
          <cell r="AN75">
            <v>0</v>
          </cell>
          <cell r="AO75">
            <v>0</v>
          </cell>
          <cell r="AP75">
            <v>22164223.825092971</v>
          </cell>
          <cell r="AQ75">
            <v>641197.33117016382</v>
          </cell>
          <cell r="AR75">
            <v>25174670.899308287</v>
          </cell>
          <cell r="AS75">
            <v>721880.55397770437</v>
          </cell>
          <cell r="AT75">
            <v>28331828.17352362</v>
          </cell>
          <cell r="AU75">
            <v>821636.10278524528</v>
          </cell>
          <cell r="AV75">
            <v>38116205.907047242</v>
          </cell>
          <cell r="AW75">
            <v>1160093.679570491</v>
          </cell>
        </row>
        <row r="76">
          <cell r="K76">
            <v>0</v>
          </cell>
        </row>
        <row r="77">
          <cell r="B77" t="str">
            <v>REMEDIATION</v>
          </cell>
        </row>
        <row r="78">
          <cell r="B78" t="str">
            <v>034015</v>
          </cell>
          <cell r="C78" t="str">
            <v>HIGHETT GASWORKS</v>
          </cell>
          <cell r="D78">
            <v>12275000</v>
          </cell>
          <cell r="E78">
            <v>1436470.54</v>
          </cell>
          <cell r="F78">
            <v>0.88297592303945438</v>
          </cell>
          <cell r="G78">
            <v>2010000</v>
          </cell>
          <cell r="H78">
            <v>235218.39</v>
          </cell>
          <cell r="I78">
            <v>0.19581100828056502</v>
          </cell>
          <cell r="J78">
            <v>2303035.91</v>
          </cell>
          <cell r="K78">
            <v>595526.43999999994</v>
          </cell>
          <cell r="L78">
            <v>215500</v>
          </cell>
          <cell r="M78">
            <v>30000</v>
          </cell>
          <cell r="N78">
            <v>275000</v>
          </cell>
          <cell r="O78">
            <v>42000</v>
          </cell>
          <cell r="P78">
            <v>275000</v>
          </cell>
          <cell r="Q78">
            <v>45000</v>
          </cell>
          <cell r="R78">
            <v>765500</v>
          </cell>
          <cell r="S78">
            <v>117000</v>
          </cell>
          <cell r="T78">
            <v>670971</v>
          </cell>
          <cell r="U78">
            <v>118218</v>
          </cell>
          <cell r="V78">
            <v>1436471</v>
          </cell>
          <cell r="W78">
            <v>235218</v>
          </cell>
          <cell r="X78">
            <v>3739506.91</v>
          </cell>
          <cell r="Y78">
            <v>830744.44</v>
          </cell>
          <cell r="AD78">
            <v>0</v>
          </cell>
          <cell r="AE78">
            <v>0</v>
          </cell>
          <cell r="AF78" t="e">
            <v>#N/A</v>
          </cell>
          <cell r="AG78">
            <v>41274</v>
          </cell>
          <cell r="AH78" t="e">
            <v>#N/A</v>
          </cell>
          <cell r="AI78" t="e">
            <v>#N/A</v>
          </cell>
          <cell r="AJ78">
            <v>0</v>
          </cell>
          <cell r="AK78">
            <v>0</v>
          </cell>
          <cell r="AL78">
            <v>-0.4599999999627471</v>
          </cell>
          <cell r="AM78">
            <v>0.39000000001396984</v>
          </cell>
          <cell r="AN78">
            <v>0</v>
          </cell>
          <cell r="AO78">
            <v>0</v>
          </cell>
          <cell r="AP78">
            <v>2518535.91</v>
          </cell>
          <cell r="AQ78">
            <v>625526.43999999994</v>
          </cell>
          <cell r="AR78">
            <v>2793535.91</v>
          </cell>
          <cell r="AS78">
            <v>667526.43999999994</v>
          </cell>
          <cell r="AT78">
            <v>3068535.91</v>
          </cell>
          <cell r="AU78">
            <v>712526.44</v>
          </cell>
          <cell r="AV78">
            <v>3739506.91</v>
          </cell>
          <cell r="AW78">
            <v>830744.44</v>
          </cell>
        </row>
        <row r="79">
          <cell r="B79" t="str">
            <v>034099</v>
          </cell>
          <cell r="C79" t="str">
            <v>REMEDIATION SUNDRY JOBS</v>
          </cell>
          <cell r="D79">
            <v>262272.8</v>
          </cell>
          <cell r="E79">
            <v>0</v>
          </cell>
          <cell r="F79">
            <v>1</v>
          </cell>
          <cell r="G79">
            <v>34209.5</v>
          </cell>
          <cell r="H79">
            <v>0</v>
          </cell>
          <cell r="I79">
            <v>0.15000002192373785</v>
          </cell>
          <cell r="J79">
            <v>262272.8</v>
          </cell>
          <cell r="K79">
            <v>34209.5</v>
          </cell>
          <cell r="R79">
            <v>0</v>
          </cell>
          <cell r="S79">
            <v>0</v>
          </cell>
          <cell r="V79">
            <v>0</v>
          </cell>
          <cell r="W79">
            <v>0</v>
          </cell>
          <cell r="X79">
            <v>262272.8</v>
          </cell>
          <cell r="Y79">
            <v>34209.5</v>
          </cell>
          <cell r="AD79">
            <v>0</v>
          </cell>
          <cell r="AE79">
            <v>0</v>
          </cell>
          <cell r="AF79" t="e">
            <v>#N/A</v>
          </cell>
          <cell r="AH79" t="e">
            <v>#N/A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262272.8</v>
          </cell>
          <cell r="AQ79">
            <v>34209.5</v>
          </cell>
          <cell r="AR79">
            <v>262272.8</v>
          </cell>
          <cell r="AS79">
            <v>34209.5</v>
          </cell>
          <cell r="AT79">
            <v>262272.8</v>
          </cell>
          <cell r="AU79">
            <v>34209.5</v>
          </cell>
          <cell r="AV79">
            <v>262272.8</v>
          </cell>
          <cell r="AW79">
            <v>34209.5</v>
          </cell>
        </row>
        <row r="80">
          <cell r="B80" t="str">
            <v>TOTAL REMEDIATION</v>
          </cell>
          <cell r="D80">
            <v>27784727.099999998</v>
          </cell>
          <cell r="E80">
            <v>1570397.78</v>
          </cell>
          <cell r="G80">
            <v>3738584.46</v>
          </cell>
          <cell r="H80">
            <v>271909.95</v>
          </cell>
          <cell r="J80">
            <v>5836921.2599999988</v>
          </cell>
          <cell r="K80">
            <v>1019051.18</v>
          </cell>
          <cell r="L80">
            <v>215500</v>
          </cell>
          <cell r="M80">
            <v>30000</v>
          </cell>
          <cell r="N80">
            <v>275000</v>
          </cell>
          <cell r="O80">
            <v>42000</v>
          </cell>
          <cell r="P80">
            <v>275000</v>
          </cell>
          <cell r="Q80">
            <v>45000</v>
          </cell>
          <cell r="R80">
            <v>765500</v>
          </cell>
          <cell r="S80">
            <v>117000</v>
          </cell>
          <cell r="T80">
            <v>670971</v>
          </cell>
          <cell r="U80">
            <v>118218</v>
          </cell>
          <cell r="V80">
            <v>1436471</v>
          </cell>
          <cell r="W80">
            <v>235218</v>
          </cell>
          <cell r="X80">
            <v>4001779.71</v>
          </cell>
          <cell r="Y80">
            <v>864953.94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L80">
            <v>-0.4599999999627471</v>
          </cell>
          <cell r="AM80">
            <v>0.39000000001396984</v>
          </cell>
          <cell r="AN80">
            <v>0</v>
          </cell>
          <cell r="AO80">
            <v>0</v>
          </cell>
          <cell r="AP80">
            <v>2780808.71</v>
          </cell>
          <cell r="AQ80">
            <v>659735.93999999994</v>
          </cell>
          <cell r="AR80">
            <v>3055808.71</v>
          </cell>
          <cell r="AS80">
            <v>701735.94</v>
          </cell>
          <cell r="AT80">
            <v>3330808.71</v>
          </cell>
          <cell r="AU80">
            <v>746735.94</v>
          </cell>
          <cell r="AV80">
            <v>4001779.71</v>
          </cell>
          <cell r="AW80">
            <v>864953.94</v>
          </cell>
        </row>
        <row r="81">
          <cell r="B81" t="str">
            <v>TELECOMMUNICATIONS</v>
          </cell>
          <cell r="K81">
            <v>0</v>
          </cell>
        </row>
        <row r="83">
          <cell r="B83" t="str">
            <v>TOTAL TELECOMMUNICATIONS</v>
          </cell>
          <cell r="D83">
            <v>0</v>
          </cell>
          <cell r="E83">
            <v>0</v>
          </cell>
          <cell r="G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</row>
        <row r="84">
          <cell r="B84" t="str">
            <v>UTILITIES</v>
          </cell>
        </row>
        <row r="85">
          <cell r="B85" t="str">
            <v>MELBOURNE WATER</v>
          </cell>
        </row>
        <row r="86">
          <cell r="B86" t="str">
            <v>036611</v>
          </cell>
          <cell r="C86" t="str">
            <v>LAND MANAGEMENT</v>
          </cell>
          <cell r="D86">
            <v>55200000</v>
          </cell>
          <cell r="E86">
            <v>29379968.560000002</v>
          </cell>
          <cell r="F86">
            <v>0.46584470581309778</v>
          </cell>
          <cell r="G86">
            <v>4237500</v>
          </cell>
          <cell r="H86">
            <v>2158079.38</v>
          </cell>
          <cell r="I86">
            <v>8.3149374540103016E-2</v>
          </cell>
          <cell r="J86">
            <v>3895911.75</v>
          </cell>
          <cell r="K86">
            <v>349634.9</v>
          </cell>
          <cell r="L86">
            <v>450000</v>
          </cell>
          <cell r="M86">
            <v>33750</v>
          </cell>
          <cell r="N86">
            <v>650000</v>
          </cell>
          <cell r="O86">
            <v>48750</v>
          </cell>
          <cell r="P86">
            <v>550000</v>
          </cell>
          <cell r="Q86">
            <v>41250</v>
          </cell>
          <cell r="R86">
            <v>1650000</v>
          </cell>
          <cell r="S86">
            <v>123750</v>
          </cell>
          <cell r="T86">
            <v>1650000</v>
          </cell>
          <cell r="U86">
            <v>123750</v>
          </cell>
          <cell r="V86">
            <v>3300000</v>
          </cell>
          <cell r="W86">
            <v>247500</v>
          </cell>
          <cell r="X86">
            <v>7195911.75</v>
          </cell>
          <cell r="Y86">
            <v>597134.9</v>
          </cell>
          <cell r="Z86">
            <v>4000000</v>
          </cell>
          <cell r="AA86">
            <v>300000</v>
          </cell>
          <cell r="AB86">
            <v>4000000</v>
          </cell>
          <cell r="AC86">
            <v>300000</v>
          </cell>
          <cell r="AD86">
            <v>8000000</v>
          </cell>
          <cell r="AE86">
            <v>600000</v>
          </cell>
          <cell r="AF86" t="e">
            <v>#N/A</v>
          </cell>
          <cell r="AG86">
            <v>40816</v>
          </cell>
          <cell r="AH86" t="e">
            <v>#N/A</v>
          </cell>
          <cell r="AI86" t="e">
            <v>#N/A</v>
          </cell>
          <cell r="AJ86">
            <v>48540</v>
          </cell>
          <cell r="AK86">
            <v>1350000</v>
          </cell>
          <cell r="AL86">
            <v>18079968.560000002</v>
          </cell>
          <cell r="AM86">
            <v>1310579.3799999999</v>
          </cell>
          <cell r="AN86">
            <v>0</v>
          </cell>
          <cell r="AO86">
            <v>0</v>
          </cell>
          <cell r="AP86">
            <v>4345911.75</v>
          </cell>
          <cell r="AQ86">
            <v>383384.9</v>
          </cell>
          <cell r="AR86">
            <v>4995911.75</v>
          </cell>
          <cell r="AS86">
            <v>432134.9</v>
          </cell>
          <cell r="AT86">
            <v>5545911.75</v>
          </cell>
          <cell r="AU86">
            <v>473384.9</v>
          </cell>
          <cell r="AV86">
            <v>7195911.75</v>
          </cell>
          <cell r="AW86">
            <v>597134.9</v>
          </cell>
        </row>
        <row r="87">
          <cell r="B87" t="str">
            <v>036612</v>
          </cell>
          <cell r="C87" t="str">
            <v>WATERWAYS / DRAINAGE - NTH</v>
          </cell>
          <cell r="D87">
            <v>31400000</v>
          </cell>
          <cell r="E87">
            <v>16321097.130000001</v>
          </cell>
          <cell r="F87">
            <v>0.4774686711988777</v>
          </cell>
          <cell r="G87">
            <v>2440625</v>
          </cell>
          <cell r="H87">
            <v>1188916.43</v>
          </cell>
          <cell r="I87">
            <v>8.4277543973238375E-2</v>
          </cell>
          <cell r="J87">
            <v>2263336.48</v>
          </cell>
          <cell r="K87">
            <v>189426.13</v>
          </cell>
          <cell r="L87">
            <v>340000</v>
          </cell>
          <cell r="M87">
            <v>25500</v>
          </cell>
          <cell r="N87">
            <v>340000</v>
          </cell>
          <cell r="O87">
            <v>25500</v>
          </cell>
          <cell r="P87">
            <v>340000</v>
          </cell>
          <cell r="Q87">
            <v>25500</v>
          </cell>
          <cell r="R87">
            <v>1020000</v>
          </cell>
          <cell r="S87">
            <v>76500</v>
          </cell>
          <cell r="T87">
            <v>1020000</v>
          </cell>
          <cell r="U87">
            <v>76500</v>
          </cell>
          <cell r="V87">
            <v>2040000</v>
          </cell>
          <cell r="W87">
            <v>153000</v>
          </cell>
          <cell r="X87">
            <v>4303336.4800000004</v>
          </cell>
          <cell r="Y87">
            <v>342426.13</v>
          </cell>
          <cell r="Z87">
            <v>2200000</v>
          </cell>
          <cell r="AA87">
            <v>165000</v>
          </cell>
          <cell r="AB87">
            <v>2200000</v>
          </cell>
          <cell r="AC87">
            <v>165000</v>
          </cell>
          <cell r="AD87">
            <v>4400000</v>
          </cell>
          <cell r="AE87">
            <v>330000</v>
          </cell>
          <cell r="AF87" t="e">
            <v>#N/A</v>
          </cell>
          <cell r="AG87">
            <v>40816</v>
          </cell>
          <cell r="AH87" t="e">
            <v>#N/A</v>
          </cell>
          <cell r="AI87" t="e">
            <v>#N/A</v>
          </cell>
          <cell r="AJ87">
            <v>26145</v>
          </cell>
          <cell r="AK87">
            <v>742500</v>
          </cell>
          <cell r="AL87">
            <v>9881097.1300000008</v>
          </cell>
          <cell r="AM87">
            <v>705916.42999999993</v>
          </cell>
          <cell r="AN87">
            <v>0</v>
          </cell>
          <cell r="AO87">
            <v>0</v>
          </cell>
          <cell r="AP87">
            <v>2603336.48</v>
          </cell>
          <cell r="AQ87">
            <v>214926.13</v>
          </cell>
          <cell r="AR87">
            <v>2943336.48</v>
          </cell>
          <cell r="AS87">
            <v>240426.13</v>
          </cell>
          <cell r="AT87">
            <v>3283336.48</v>
          </cell>
          <cell r="AU87">
            <v>265926.13</v>
          </cell>
          <cell r="AV87">
            <v>4303336.4800000004</v>
          </cell>
          <cell r="AW87">
            <v>342426.13</v>
          </cell>
        </row>
        <row r="88">
          <cell r="B88" t="str">
            <v>036613</v>
          </cell>
          <cell r="C88" t="str">
            <v>WATERWAYS / DRAINAGE - STH</v>
          </cell>
          <cell r="D88">
            <v>35400000</v>
          </cell>
          <cell r="E88">
            <v>14855188.960000005</v>
          </cell>
          <cell r="F88">
            <v>0.57766083977942995</v>
          </cell>
          <cell r="G88">
            <v>2870625</v>
          </cell>
          <cell r="H88">
            <v>1116760.04</v>
          </cell>
          <cell r="I88">
            <v>8.8247161219666845E-2</v>
          </cell>
          <cell r="J88">
            <v>1717629.74</v>
          </cell>
          <cell r="K88">
            <v>165127.32999999999</v>
          </cell>
          <cell r="L88">
            <v>310000</v>
          </cell>
          <cell r="M88">
            <v>23250</v>
          </cell>
          <cell r="N88">
            <v>310000</v>
          </cell>
          <cell r="O88">
            <v>23250</v>
          </cell>
          <cell r="P88">
            <v>310000</v>
          </cell>
          <cell r="Q88">
            <v>23250</v>
          </cell>
          <cell r="R88">
            <v>930000</v>
          </cell>
          <cell r="S88">
            <v>69750</v>
          </cell>
          <cell r="T88">
            <v>930000</v>
          </cell>
          <cell r="U88">
            <v>69750</v>
          </cell>
          <cell r="V88">
            <v>1860000</v>
          </cell>
          <cell r="W88">
            <v>139500</v>
          </cell>
          <cell r="X88">
            <v>3577629.74</v>
          </cell>
          <cell r="Y88">
            <v>304627.32999999996</v>
          </cell>
          <cell r="Z88">
            <v>2000000</v>
          </cell>
          <cell r="AA88">
            <v>150000</v>
          </cell>
          <cell r="AB88">
            <v>2000000</v>
          </cell>
          <cell r="AC88">
            <v>150000</v>
          </cell>
          <cell r="AD88">
            <v>4000000</v>
          </cell>
          <cell r="AE88">
            <v>300000</v>
          </cell>
          <cell r="AF88" t="e">
            <v>#N/A</v>
          </cell>
          <cell r="AG88">
            <v>40816</v>
          </cell>
          <cell r="AH88" t="e">
            <v>#N/A</v>
          </cell>
          <cell r="AI88" t="e">
            <v>#N/A</v>
          </cell>
          <cell r="AJ88">
            <v>25084</v>
          </cell>
          <cell r="AK88">
            <v>675000</v>
          </cell>
          <cell r="AL88">
            <v>8995188.9600000046</v>
          </cell>
          <cell r="AM88">
            <v>677260.04</v>
          </cell>
          <cell r="AN88">
            <v>0</v>
          </cell>
          <cell r="AO88">
            <v>0</v>
          </cell>
          <cell r="AP88">
            <v>2027629.74</v>
          </cell>
          <cell r="AQ88">
            <v>188377.33</v>
          </cell>
          <cell r="AR88">
            <v>2337629.7400000002</v>
          </cell>
          <cell r="AS88">
            <v>211627.33</v>
          </cell>
          <cell r="AT88">
            <v>2647629.7400000002</v>
          </cell>
          <cell r="AU88">
            <v>234877.33</v>
          </cell>
          <cell r="AV88">
            <v>3577629.74</v>
          </cell>
          <cell r="AW88">
            <v>304627.32999999996</v>
          </cell>
        </row>
        <row r="89">
          <cell r="B89" t="str">
            <v>036614</v>
          </cell>
          <cell r="C89" t="str">
            <v>SEWER MAINTENANCE</v>
          </cell>
          <cell r="D89">
            <v>25400000</v>
          </cell>
          <cell r="E89">
            <v>15018431.370000001</v>
          </cell>
          <cell r="F89">
            <v>0.40577849806341321</v>
          </cell>
          <cell r="G89">
            <v>2001875</v>
          </cell>
          <cell r="H89">
            <v>1114762.3899999999</v>
          </cell>
          <cell r="I89">
            <v>8.5557069209605471E-2</v>
          </cell>
          <cell r="J89">
            <v>2099605.66</v>
          </cell>
          <cell r="K89">
            <v>193974.58</v>
          </cell>
          <cell r="L89">
            <v>250000</v>
          </cell>
          <cell r="M89">
            <v>18750</v>
          </cell>
          <cell r="N89">
            <v>250000</v>
          </cell>
          <cell r="O89">
            <v>18750</v>
          </cell>
          <cell r="P89">
            <v>250000</v>
          </cell>
          <cell r="Q89">
            <v>18750</v>
          </cell>
          <cell r="R89">
            <v>750000</v>
          </cell>
          <cell r="S89">
            <v>56250</v>
          </cell>
          <cell r="T89">
            <v>750000</v>
          </cell>
          <cell r="U89">
            <v>56250</v>
          </cell>
          <cell r="V89">
            <v>1500000</v>
          </cell>
          <cell r="W89">
            <v>112500</v>
          </cell>
          <cell r="X89">
            <v>3599605.66</v>
          </cell>
          <cell r="Y89">
            <v>306474.57999999996</v>
          </cell>
          <cell r="Z89">
            <v>2100000</v>
          </cell>
          <cell r="AA89">
            <v>157500</v>
          </cell>
          <cell r="AB89">
            <v>2100000</v>
          </cell>
          <cell r="AC89">
            <v>157500</v>
          </cell>
          <cell r="AD89">
            <v>4200000</v>
          </cell>
          <cell r="AE89">
            <v>315000</v>
          </cell>
          <cell r="AF89" t="e">
            <v>#N/A</v>
          </cell>
          <cell r="AG89">
            <v>40816</v>
          </cell>
          <cell r="AH89" t="e">
            <v>#N/A</v>
          </cell>
          <cell r="AI89" t="e">
            <v>#N/A</v>
          </cell>
          <cell r="AJ89">
            <v>25454</v>
          </cell>
          <cell r="AK89">
            <v>708750</v>
          </cell>
          <cell r="AL89">
            <v>9318431.370000001</v>
          </cell>
          <cell r="AM89">
            <v>687262.3899999999</v>
          </cell>
          <cell r="AN89">
            <v>0</v>
          </cell>
          <cell r="AO89">
            <v>0</v>
          </cell>
          <cell r="AP89">
            <v>2349605.66</v>
          </cell>
          <cell r="AQ89">
            <v>212724.58</v>
          </cell>
          <cell r="AR89">
            <v>2599605.66</v>
          </cell>
          <cell r="AS89">
            <v>231474.58</v>
          </cell>
          <cell r="AT89">
            <v>2849605.66</v>
          </cell>
          <cell r="AU89">
            <v>250224.58</v>
          </cell>
          <cell r="AV89">
            <v>3599605.66</v>
          </cell>
          <cell r="AW89">
            <v>306474.57999999996</v>
          </cell>
        </row>
        <row r="90">
          <cell r="B90" t="str">
            <v>036615</v>
          </cell>
          <cell r="C90" t="str">
            <v>ETP MAINTENANCE</v>
          </cell>
          <cell r="D90">
            <v>13700000</v>
          </cell>
          <cell r="E90">
            <v>7405184.2199999997</v>
          </cell>
          <cell r="F90">
            <v>0.45080004976172561</v>
          </cell>
          <cell r="G90">
            <v>1240625</v>
          </cell>
          <cell r="H90">
            <v>562496.09</v>
          </cell>
          <cell r="I90">
            <v>9.9573614246300471E-2</v>
          </cell>
          <cell r="J90">
            <v>944760.74</v>
          </cell>
          <cell r="K90">
            <v>102062.39</v>
          </cell>
          <cell r="L90">
            <v>150000</v>
          </cell>
          <cell r="M90">
            <v>11250</v>
          </cell>
          <cell r="N90">
            <v>150000</v>
          </cell>
          <cell r="O90">
            <v>11250</v>
          </cell>
          <cell r="P90">
            <v>150000</v>
          </cell>
          <cell r="Q90">
            <v>11250</v>
          </cell>
          <cell r="R90">
            <v>450000</v>
          </cell>
          <cell r="S90">
            <v>33750</v>
          </cell>
          <cell r="T90">
            <v>450000</v>
          </cell>
          <cell r="U90">
            <v>33750</v>
          </cell>
          <cell r="V90">
            <v>900000</v>
          </cell>
          <cell r="W90">
            <v>67500</v>
          </cell>
          <cell r="X90">
            <v>1844760.74</v>
          </cell>
          <cell r="Y90">
            <v>169562.39</v>
          </cell>
          <cell r="Z90">
            <v>1000000</v>
          </cell>
          <cell r="AA90">
            <v>75000</v>
          </cell>
          <cell r="AB90">
            <v>1000000</v>
          </cell>
          <cell r="AC90">
            <v>75000</v>
          </cell>
          <cell r="AD90">
            <v>2000000</v>
          </cell>
          <cell r="AE90">
            <v>150000</v>
          </cell>
          <cell r="AF90" t="e">
            <v>#N/A</v>
          </cell>
          <cell r="AG90">
            <v>40816</v>
          </cell>
          <cell r="AH90" t="e">
            <v>#N/A</v>
          </cell>
          <cell r="AI90" t="e">
            <v>#N/A</v>
          </cell>
          <cell r="AJ90">
            <v>12778</v>
          </cell>
          <cell r="AK90">
            <v>337500</v>
          </cell>
          <cell r="AL90">
            <v>4505184.22</v>
          </cell>
          <cell r="AM90">
            <v>344996.08999999997</v>
          </cell>
          <cell r="AN90">
            <v>0</v>
          </cell>
          <cell r="AO90">
            <v>0</v>
          </cell>
          <cell r="AP90">
            <v>1094760.74</v>
          </cell>
          <cell r="AQ90">
            <v>113312.39</v>
          </cell>
          <cell r="AR90">
            <v>1244760.74</v>
          </cell>
          <cell r="AS90">
            <v>124562.39</v>
          </cell>
          <cell r="AT90">
            <v>1394760.74</v>
          </cell>
          <cell r="AU90">
            <v>135812.39000000001</v>
          </cell>
          <cell r="AV90">
            <v>1844760.74</v>
          </cell>
          <cell r="AW90">
            <v>169562.39</v>
          </cell>
        </row>
        <row r="91">
          <cell r="B91" t="str">
            <v>036616</v>
          </cell>
          <cell r="C91" t="str">
            <v>PATTERSON LAKES</v>
          </cell>
          <cell r="D91">
            <v>2250000</v>
          </cell>
          <cell r="E91">
            <v>941629.62</v>
          </cell>
          <cell r="F91">
            <v>0.57722733520424074</v>
          </cell>
          <cell r="G91">
            <v>245625</v>
          </cell>
          <cell r="H91">
            <v>94234.66</v>
          </cell>
          <cell r="I91">
            <v>0.1225444340505145</v>
          </cell>
          <cell r="J91">
            <v>124253.61</v>
          </cell>
          <cell r="K91">
            <v>17470.59</v>
          </cell>
          <cell r="L91">
            <v>23000</v>
          </cell>
          <cell r="M91">
            <v>1725</v>
          </cell>
          <cell r="N91">
            <v>23000</v>
          </cell>
          <cell r="O91">
            <v>1725</v>
          </cell>
          <cell r="P91">
            <v>23000</v>
          </cell>
          <cell r="Q91">
            <v>1725</v>
          </cell>
          <cell r="R91">
            <v>69000</v>
          </cell>
          <cell r="S91">
            <v>5175</v>
          </cell>
          <cell r="T91">
            <v>69000</v>
          </cell>
          <cell r="U91">
            <v>5175</v>
          </cell>
          <cell r="V91">
            <v>138000</v>
          </cell>
          <cell r="W91">
            <v>10350</v>
          </cell>
          <cell r="X91">
            <v>262253.61</v>
          </cell>
          <cell r="Y91">
            <v>27820.59</v>
          </cell>
          <cell r="Z91">
            <v>130000</v>
          </cell>
          <cell r="AA91">
            <v>9750</v>
          </cell>
          <cell r="AB91">
            <v>130000</v>
          </cell>
          <cell r="AC91">
            <v>9750</v>
          </cell>
          <cell r="AD91">
            <v>260000</v>
          </cell>
          <cell r="AE91">
            <v>19500</v>
          </cell>
          <cell r="AF91" t="e">
            <v>#N/A</v>
          </cell>
          <cell r="AG91">
            <v>40816</v>
          </cell>
          <cell r="AH91" t="e">
            <v>#N/A</v>
          </cell>
          <cell r="AI91" t="e">
            <v>#N/A</v>
          </cell>
          <cell r="AJ91">
            <v>2385</v>
          </cell>
          <cell r="AK91">
            <v>43875</v>
          </cell>
          <cell r="AL91">
            <v>543629.62</v>
          </cell>
          <cell r="AM91">
            <v>64384.66</v>
          </cell>
          <cell r="AN91">
            <v>0</v>
          </cell>
          <cell r="AO91">
            <v>0</v>
          </cell>
          <cell r="AP91">
            <v>147253.60999999999</v>
          </cell>
          <cell r="AQ91">
            <v>19195.59</v>
          </cell>
          <cell r="AR91">
            <v>170253.61</v>
          </cell>
          <cell r="AS91">
            <v>20920.59</v>
          </cell>
          <cell r="AT91">
            <v>193253.61</v>
          </cell>
          <cell r="AU91">
            <v>22645.59</v>
          </cell>
          <cell r="AV91">
            <v>262253.61</v>
          </cell>
          <cell r="AW91">
            <v>27820.59</v>
          </cell>
        </row>
        <row r="92">
          <cell r="B92" t="str">
            <v>036617</v>
          </cell>
          <cell r="C92" t="str">
            <v>CAPITAL WORKS - MINOR</v>
          </cell>
          <cell r="D92">
            <v>18987190.050000001</v>
          </cell>
          <cell r="E92">
            <v>3700000</v>
          </cell>
          <cell r="F92">
            <v>0.79644349658373748</v>
          </cell>
          <cell r="G92">
            <v>2456153.4900000002</v>
          </cell>
          <cell r="H92">
            <v>335000</v>
          </cell>
          <cell r="I92">
            <v>0.14857831092958396</v>
          </cell>
          <cell r="J92">
            <v>3010658.77</v>
          </cell>
          <cell r="K92">
            <v>331404.53000000003</v>
          </cell>
          <cell r="L92">
            <v>800000</v>
          </cell>
          <cell r="M92">
            <v>72000</v>
          </cell>
          <cell r="N92">
            <v>1200000</v>
          </cell>
          <cell r="O92">
            <v>110000</v>
          </cell>
          <cell r="P92">
            <v>1700000</v>
          </cell>
          <cell r="Q92">
            <v>153000</v>
          </cell>
          <cell r="R92">
            <v>3700000</v>
          </cell>
          <cell r="S92">
            <v>335000</v>
          </cell>
          <cell r="V92">
            <v>3700000</v>
          </cell>
          <cell r="W92">
            <v>335000</v>
          </cell>
          <cell r="X92">
            <v>6710658.7699999996</v>
          </cell>
          <cell r="Y92">
            <v>666404.53</v>
          </cell>
          <cell r="AD92">
            <v>0</v>
          </cell>
          <cell r="AE92">
            <v>0</v>
          </cell>
          <cell r="AF92" t="e">
            <v>#N/A</v>
          </cell>
          <cell r="AG92">
            <v>40816</v>
          </cell>
          <cell r="AH92" t="e">
            <v>#N/A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3810658.77</v>
          </cell>
          <cell r="AQ92">
            <v>403404.53</v>
          </cell>
          <cell r="AR92">
            <v>5010658.7699999996</v>
          </cell>
          <cell r="AS92">
            <v>513404.53</v>
          </cell>
          <cell r="AT92">
            <v>6710658.7699999996</v>
          </cell>
          <cell r="AU92">
            <v>666404.53</v>
          </cell>
          <cell r="AV92">
            <v>6710658.7699999996</v>
          </cell>
          <cell r="AW92">
            <v>666404.53</v>
          </cell>
        </row>
        <row r="93">
          <cell r="B93" t="str">
            <v>036618</v>
          </cell>
          <cell r="C93" t="str">
            <v>CAPITAL WORKS - MAJOR</v>
          </cell>
          <cell r="D93">
            <v>21120199.300000001</v>
          </cell>
          <cell r="E93">
            <v>2400000</v>
          </cell>
          <cell r="F93">
            <v>0.88666131974224183</v>
          </cell>
          <cell r="G93">
            <v>2612837.16</v>
          </cell>
          <cell r="H93">
            <v>302400</v>
          </cell>
          <cell r="I93">
            <v>0.1411782586970009</v>
          </cell>
          <cell r="J93">
            <v>3461060.14</v>
          </cell>
          <cell r="K93">
            <v>428325.39</v>
          </cell>
          <cell r="L93">
            <v>500000</v>
          </cell>
          <cell r="M93">
            <v>63000</v>
          </cell>
          <cell r="N93">
            <v>900000</v>
          </cell>
          <cell r="O93">
            <v>113400</v>
          </cell>
          <cell r="P93">
            <v>1000000</v>
          </cell>
          <cell r="Q93">
            <v>126000</v>
          </cell>
          <cell r="R93">
            <v>2400000</v>
          </cell>
          <cell r="S93">
            <v>302400</v>
          </cell>
          <cell r="V93">
            <v>2400000</v>
          </cell>
          <cell r="W93">
            <v>302400</v>
          </cell>
          <cell r="X93">
            <v>5861060.1400000006</v>
          </cell>
          <cell r="Y93">
            <v>730725.39</v>
          </cell>
          <cell r="AD93">
            <v>0</v>
          </cell>
          <cell r="AE93">
            <v>0</v>
          </cell>
          <cell r="AF93" t="e">
            <v>#N/A</v>
          </cell>
          <cell r="AG93">
            <v>40816</v>
          </cell>
          <cell r="AH93" t="e">
            <v>#N/A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3961060.14</v>
          </cell>
          <cell r="AQ93">
            <v>491325.39</v>
          </cell>
          <cell r="AR93">
            <v>4861060.1400000006</v>
          </cell>
          <cell r="AS93">
            <v>604725.39</v>
          </cell>
          <cell r="AT93">
            <v>5861060.1400000006</v>
          </cell>
          <cell r="AU93">
            <v>730725.39</v>
          </cell>
          <cell r="AV93">
            <v>5861060.1400000006</v>
          </cell>
          <cell r="AW93">
            <v>730725.39</v>
          </cell>
        </row>
        <row r="94">
          <cell r="B94" t="str">
            <v>036690</v>
          </cell>
          <cell r="C94" t="str">
            <v>ADMINISTRATION</v>
          </cell>
          <cell r="D94">
            <v>6418740</v>
          </cell>
          <cell r="E94">
            <v>3059043.96</v>
          </cell>
          <cell r="F94">
            <v>0.4545542601432227</v>
          </cell>
          <cell r="G94">
            <v>-3297600</v>
          </cell>
          <cell r="H94">
            <v>-2240692.2999999998</v>
          </cell>
          <cell r="I94">
            <v>-0.33938705314964279</v>
          </cell>
          <cell r="J94">
            <v>406141.76</v>
          </cell>
          <cell r="K94">
            <v>-277464.3</v>
          </cell>
          <cell r="L94">
            <v>65000</v>
          </cell>
          <cell r="M94">
            <v>-50000</v>
          </cell>
          <cell r="N94">
            <v>65000</v>
          </cell>
          <cell r="O94">
            <v>-50000</v>
          </cell>
          <cell r="P94">
            <v>65000</v>
          </cell>
          <cell r="Q94">
            <v>-50000</v>
          </cell>
          <cell r="R94">
            <v>195000</v>
          </cell>
          <cell r="S94">
            <v>-150000</v>
          </cell>
          <cell r="T94">
            <v>195000</v>
          </cell>
          <cell r="U94">
            <v>-150000</v>
          </cell>
          <cell r="V94">
            <v>390000</v>
          </cell>
          <cell r="W94">
            <v>-300000</v>
          </cell>
          <cell r="X94">
            <v>796141.76</v>
          </cell>
          <cell r="Y94">
            <v>-577464.30000000005</v>
          </cell>
          <cell r="Z94">
            <v>400000</v>
          </cell>
          <cell r="AA94">
            <v>-300000</v>
          </cell>
          <cell r="AB94">
            <v>400000</v>
          </cell>
          <cell r="AC94">
            <v>-300000</v>
          </cell>
          <cell r="AD94">
            <v>800000</v>
          </cell>
          <cell r="AE94">
            <v>-600000</v>
          </cell>
          <cell r="AF94" t="e">
            <v>#N/A</v>
          </cell>
          <cell r="AG94">
            <v>40816</v>
          </cell>
          <cell r="AH94" t="e">
            <v>#N/A</v>
          </cell>
          <cell r="AI94" t="e">
            <v>#N/A</v>
          </cell>
          <cell r="AJ94">
            <v>-49655</v>
          </cell>
          <cell r="AK94">
            <v>-1350000</v>
          </cell>
          <cell r="AL94">
            <v>1869043.96</v>
          </cell>
          <cell r="AM94">
            <v>-1340692.2999999998</v>
          </cell>
          <cell r="AN94">
            <v>0</v>
          </cell>
          <cell r="AO94">
            <v>0</v>
          </cell>
          <cell r="AP94">
            <v>471141.76</v>
          </cell>
          <cell r="AQ94">
            <v>-327464.3</v>
          </cell>
          <cell r="AR94">
            <v>536141.76</v>
          </cell>
          <cell r="AS94">
            <v>-377464.3</v>
          </cell>
          <cell r="AT94">
            <v>601141.76000000001</v>
          </cell>
          <cell r="AU94">
            <v>-427464.3</v>
          </cell>
          <cell r="AV94">
            <v>796141.76</v>
          </cell>
          <cell r="AW94">
            <v>-577464.30000000005</v>
          </cell>
        </row>
        <row r="96">
          <cell r="B96" t="str">
            <v>SUBTOTAL MELBOURNE WATER</v>
          </cell>
          <cell r="D96">
            <v>209876129.35000002</v>
          </cell>
          <cell r="E96">
            <v>93080543.820000008</v>
          </cell>
          <cell r="G96">
            <v>14808265.649999999</v>
          </cell>
          <cell r="H96">
            <v>4631956.6900000004</v>
          </cell>
          <cell r="J96">
            <v>17923358.650000002</v>
          </cell>
          <cell r="K96">
            <v>1499961.54</v>
          </cell>
          <cell r="L96">
            <v>2888000</v>
          </cell>
          <cell r="M96">
            <v>199225</v>
          </cell>
          <cell r="N96">
            <v>3888000</v>
          </cell>
          <cell r="O96">
            <v>302625</v>
          </cell>
          <cell r="P96">
            <v>4388000</v>
          </cell>
          <cell r="Q96">
            <v>350725</v>
          </cell>
          <cell r="R96">
            <v>11164000</v>
          </cell>
          <cell r="S96">
            <v>852575</v>
          </cell>
          <cell r="T96">
            <v>5064000</v>
          </cell>
          <cell r="U96">
            <v>215175</v>
          </cell>
          <cell r="V96">
            <v>16228000</v>
          </cell>
          <cell r="W96">
            <v>1067750</v>
          </cell>
          <cell r="X96">
            <v>34151358.649999999</v>
          </cell>
          <cell r="Y96">
            <v>2567711.54</v>
          </cell>
          <cell r="Z96">
            <v>11830000</v>
          </cell>
          <cell r="AA96">
            <v>557250</v>
          </cell>
          <cell r="AB96">
            <v>11830000</v>
          </cell>
          <cell r="AC96">
            <v>557250</v>
          </cell>
          <cell r="AD96">
            <v>23660000</v>
          </cell>
          <cell r="AE96">
            <v>1114500</v>
          </cell>
          <cell r="AL96">
            <v>53192543.820000008</v>
          </cell>
          <cell r="AM96">
            <v>2449706.6899999995</v>
          </cell>
          <cell r="AN96">
            <v>0</v>
          </cell>
          <cell r="AO96">
            <v>0</v>
          </cell>
          <cell r="AP96">
            <v>20811358.650000002</v>
          </cell>
          <cell r="AQ96">
            <v>1699186.5399999998</v>
          </cell>
          <cell r="AR96">
            <v>24699358.650000002</v>
          </cell>
          <cell r="AS96">
            <v>2001811.5399999998</v>
          </cell>
          <cell r="AT96">
            <v>29087358.650000002</v>
          </cell>
          <cell r="AU96">
            <v>2352536.5400000005</v>
          </cell>
          <cell r="AV96">
            <v>34151358.649999999</v>
          </cell>
          <cell r="AW96">
            <v>2567711.54</v>
          </cell>
        </row>
        <row r="97">
          <cell r="B97" t="str">
            <v>ALINTA NETWORK SERVICES (ALLIANCE)</v>
          </cell>
        </row>
        <row r="98">
          <cell r="B98" t="str">
            <v>MOORABBIN DIVISION</v>
          </cell>
        </row>
        <row r="99">
          <cell r="B99" t="str">
            <v>036401</v>
          </cell>
          <cell r="C99" t="str">
            <v>ANS NETWORK MANAGEMENT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R99">
            <v>0</v>
          </cell>
          <cell r="S99">
            <v>0</v>
          </cell>
          <cell r="V99">
            <v>0</v>
          </cell>
          <cell r="W99">
            <v>0</v>
          </cell>
          <cell r="Z99">
            <v>0</v>
          </cell>
          <cell r="AA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</row>
        <row r="100">
          <cell r="B100" t="str">
            <v>036402</v>
          </cell>
          <cell r="C100" t="str">
            <v>ANS METERING, SERVICING AND FAULTS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R100">
            <v>0</v>
          </cell>
          <cell r="S100">
            <v>0</v>
          </cell>
          <cell r="V100">
            <v>0</v>
          </cell>
          <cell r="W100">
            <v>0</v>
          </cell>
          <cell r="Z100">
            <v>0</v>
          </cell>
          <cell r="AA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</row>
        <row r="101">
          <cell r="B101" t="str">
            <v>036403</v>
          </cell>
          <cell r="C101" t="str">
            <v>ANS ASSET CONSTRUCTION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R101">
            <v>0</v>
          </cell>
          <cell r="S101">
            <v>0</v>
          </cell>
          <cell r="V101">
            <v>0</v>
          </cell>
          <cell r="W101">
            <v>0</v>
          </cell>
          <cell r="Z101">
            <v>0</v>
          </cell>
          <cell r="AA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</row>
        <row r="102">
          <cell r="B102" t="str">
            <v>036406</v>
          </cell>
          <cell r="C102" t="str">
            <v>ANS POLE TO PIT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R102">
            <v>0</v>
          </cell>
          <cell r="S102">
            <v>0</v>
          </cell>
          <cell r="V102">
            <v>0</v>
          </cell>
          <cell r="W102">
            <v>0</v>
          </cell>
          <cell r="Z102">
            <v>0</v>
          </cell>
          <cell r="AA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</row>
        <row r="103">
          <cell r="B103" t="str">
            <v>036409</v>
          </cell>
          <cell r="C103" t="str">
            <v>ANS TURNKEY WORKS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R103">
            <v>0</v>
          </cell>
          <cell r="S103">
            <v>0</v>
          </cell>
          <cell r="V103">
            <v>0</v>
          </cell>
          <cell r="W103">
            <v>0</v>
          </cell>
          <cell r="Z103">
            <v>0</v>
          </cell>
          <cell r="AA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</row>
        <row r="104">
          <cell r="B104" t="str">
            <v>MOORABBIN TOTAL</v>
          </cell>
          <cell r="D104">
            <v>0</v>
          </cell>
          <cell r="E104">
            <v>0</v>
          </cell>
          <cell r="G104">
            <v>0</v>
          </cell>
          <cell r="H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</row>
        <row r="105">
          <cell r="B105" t="str">
            <v>MORNINGTON DIVISION</v>
          </cell>
        </row>
        <row r="106">
          <cell r="B106" t="str">
            <v>036411</v>
          </cell>
          <cell r="C106" t="str">
            <v>ANS NETWORK MANAGEMENT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R106">
            <v>0</v>
          </cell>
          <cell r="S106">
            <v>0</v>
          </cell>
          <cell r="V106">
            <v>0</v>
          </cell>
          <cell r="W106">
            <v>0</v>
          </cell>
          <cell r="Z106">
            <v>0</v>
          </cell>
          <cell r="AA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</row>
        <row r="107">
          <cell r="B107" t="str">
            <v>036412</v>
          </cell>
          <cell r="C107" t="str">
            <v>ANS METERING, SERVICING AND FAULTS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R107">
            <v>0</v>
          </cell>
          <cell r="S107">
            <v>0</v>
          </cell>
          <cell r="V107">
            <v>0</v>
          </cell>
          <cell r="W107">
            <v>0</v>
          </cell>
          <cell r="Z107">
            <v>0</v>
          </cell>
          <cell r="AA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</row>
        <row r="108">
          <cell r="B108" t="str">
            <v>036413</v>
          </cell>
          <cell r="C108" t="str">
            <v>ANS ASSET CONSTRUCTION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R108">
            <v>0</v>
          </cell>
          <cell r="S108">
            <v>0</v>
          </cell>
          <cell r="V108">
            <v>0</v>
          </cell>
          <cell r="W108">
            <v>0</v>
          </cell>
          <cell r="Z108">
            <v>0</v>
          </cell>
          <cell r="AA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</row>
        <row r="109">
          <cell r="B109" t="str">
            <v>036416</v>
          </cell>
          <cell r="C109" t="str">
            <v>ANS ASSET CONSTRUCTION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R109">
            <v>0</v>
          </cell>
          <cell r="S109">
            <v>0</v>
          </cell>
          <cell r="V109">
            <v>0</v>
          </cell>
          <cell r="W109">
            <v>0</v>
          </cell>
          <cell r="Z109">
            <v>0</v>
          </cell>
          <cell r="AA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</row>
        <row r="110">
          <cell r="B110" t="str">
            <v>036419</v>
          </cell>
          <cell r="C110" t="str">
            <v>ANS TURNKEY WORKS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R110">
            <v>0</v>
          </cell>
          <cell r="S110">
            <v>0</v>
          </cell>
          <cell r="V110">
            <v>0</v>
          </cell>
          <cell r="W110">
            <v>0</v>
          </cell>
          <cell r="Z110">
            <v>0</v>
          </cell>
          <cell r="AA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</row>
        <row r="111">
          <cell r="B111" t="str">
            <v>MORNINGTON TOTAL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</row>
        <row r="112">
          <cell r="B112" t="str">
            <v>BURWOOD DIVISION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</row>
        <row r="113">
          <cell r="B113" t="str">
            <v>036421</v>
          </cell>
          <cell r="C113" t="str">
            <v>ANS NETWORK MANAGEMENT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R113">
            <v>0</v>
          </cell>
          <cell r="S113">
            <v>0</v>
          </cell>
          <cell r="V113">
            <v>0</v>
          </cell>
          <cell r="W113">
            <v>0</v>
          </cell>
          <cell r="Z113">
            <v>0</v>
          </cell>
          <cell r="AA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</row>
        <row r="114">
          <cell r="B114" t="str">
            <v>036422</v>
          </cell>
          <cell r="C114" t="str">
            <v>ANS METERING, SERVICING AND FAULTS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Z114">
            <v>0</v>
          </cell>
          <cell r="AA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</row>
        <row r="115">
          <cell r="B115" t="str">
            <v>036423</v>
          </cell>
          <cell r="C115" t="str">
            <v>ANS ASSET CONSTRUCTION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R115">
            <v>0</v>
          </cell>
          <cell r="S115">
            <v>0</v>
          </cell>
          <cell r="V115">
            <v>0</v>
          </cell>
          <cell r="W115">
            <v>0</v>
          </cell>
          <cell r="Z115">
            <v>0</v>
          </cell>
          <cell r="AA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</row>
        <row r="116">
          <cell r="B116" t="str">
            <v>036426</v>
          </cell>
          <cell r="C116" t="str">
            <v>ANS POLE TO PIT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R116">
            <v>0</v>
          </cell>
          <cell r="S116">
            <v>0</v>
          </cell>
          <cell r="V116">
            <v>0</v>
          </cell>
          <cell r="W116">
            <v>0</v>
          </cell>
          <cell r="Z116">
            <v>0</v>
          </cell>
          <cell r="AA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</row>
        <row r="117">
          <cell r="B117" t="str">
            <v>036429</v>
          </cell>
          <cell r="C117" t="str">
            <v>ANS TURNKEY WORKS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R117">
            <v>0</v>
          </cell>
          <cell r="S117">
            <v>0</v>
          </cell>
          <cell r="V117">
            <v>0</v>
          </cell>
          <cell r="W117">
            <v>0</v>
          </cell>
          <cell r="Z117">
            <v>0</v>
          </cell>
          <cell r="AA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</row>
        <row r="118">
          <cell r="B118" t="str">
            <v>BURWOOD TOTAL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</row>
        <row r="119">
          <cell r="B119" t="str">
            <v>OVERHEADS</v>
          </cell>
        </row>
        <row r="120">
          <cell r="B120" t="str">
            <v>036508b</v>
          </cell>
          <cell r="C120" t="str">
            <v>ANS LOGISTICS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R120">
            <v>0</v>
          </cell>
          <cell r="S120">
            <v>0</v>
          </cell>
          <cell r="V120">
            <v>0</v>
          </cell>
          <cell r="W120">
            <v>0</v>
          </cell>
          <cell r="Z120">
            <v>0</v>
          </cell>
          <cell r="AA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</row>
        <row r="121">
          <cell r="B121" t="str">
            <v>036518b</v>
          </cell>
          <cell r="C121" t="str">
            <v>ANS LOGISTICS MTN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R121">
            <v>0</v>
          </cell>
          <cell r="S121">
            <v>0</v>
          </cell>
          <cell r="V121">
            <v>0</v>
          </cell>
          <cell r="W121">
            <v>0</v>
          </cell>
          <cell r="Z121">
            <v>0</v>
          </cell>
          <cell r="AA121">
            <v>0</v>
          </cell>
        </row>
        <row r="122">
          <cell r="B122" t="str">
            <v>036490</v>
          </cell>
          <cell r="C122" t="str">
            <v>ANS ADMINISTRATION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Z122">
            <v>0</v>
          </cell>
          <cell r="AA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B123" t="str">
            <v>OVERHEADS TOTAL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</row>
        <row r="124">
          <cell r="B124" t="str">
            <v>SUBTOTAL ALINTA (ALLIANCE)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</row>
        <row r="125">
          <cell r="B125" t="str">
            <v>ALINTA NETWORK SERVICES</v>
          </cell>
        </row>
        <row r="126">
          <cell r="B126" t="str">
            <v>MOORABBIN DIVISION</v>
          </cell>
        </row>
        <row r="127">
          <cell r="B127" t="str">
            <v>036701</v>
          </cell>
          <cell r="C127" t="str">
            <v>ANS NETWORK MANAGEMENT</v>
          </cell>
          <cell r="D127">
            <v>763183.99234999996</v>
          </cell>
          <cell r="E127">
            <v>192023.06235000002</v>
          </cell>
          <cell r="F127">
            <v>0.75819829072299139</v>
          </cell>
          <cell r="G127">
            <v>88538.037250000008</v>
          </cell>
          <cell r="H127">
            <v>28892.517250000004</v>
          </cell>
          <cell r="I127">
            <v>0.13123629746935397</v>
          </cell>
          <cell r="J127">
            <v>113479.71</v>
          </cell>
          <cell r="K127">
            <v>15397.22</v>
          </cell>
          <cell r="L127">
            <v>5896.6529685228788</v>
          </cell>
          <cell r="M127">
            <v>1230.7372420554557</v>
          </cell>
          <cell r="N127">
            <v>8356.606309156412</v>
          </cell>
          <cell r="O127">
            <v>227.93435492886749</v>
          </cell>
          <cell r="P127">
            <v>10749.740722320714</v>
          </cell>
          <cell r="Q127">
            <v>1791.7184030156775</v>
          </cell>
          <cell r="R127">
            <v>25003.000000000004</v>
          </cell>
          <cell r="S127">
            <v>3250.3900000000008</v>
          </cell>
          <cell r="T127">
            <v>51836.160000000003</v>
          </cell>
          <cell r="U127">
            <v>10309.208000000004</v>
          </cell>
          <cell r="V127">
            <v>76839.16</v>
          </cell>
          <cell r="W127">
            <v>13559.598000000005</v>
          </cell>
          <cell r="X127">
            <v>190318.87</v>
          </cell>
          <cell r="Y127">
            <v>28956.818000000007</v>
          </cell>
          <cell r="Z127">
            <v>115183.90234999999</v>
          </cell>
          <cell r="AA127">
            <v>15332.919249999999</v>
          </cell>
          <cell r="AD127">
            <v>115183.90234999999</v>
          </cell>
          <cell r="AE127">
            <v>15332.919249999999</v>
          </cell>
          <cell r="AF127" t="e">
            <v>#N/A</v>
          </cell>
          <cell r="AG127">
            <v>39813</v>
          </cell>
          <cell r="AH127" t="e">
            <v>#N/A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119376.36296852288</v>
          </cell>
          <cell r="AQ127">
            <v>16627.957242055454</v>
          </cell>
          <cell r="AR127">
            <v>127732.96927767929</v>
          </cell>
          <cell r="AS127">
            <v>16855.891596984322</v>
          </cell>
          <cell r="AT127">
            <v>138482.71000000002</v>
          </cell>
          <cell r="AU127">
            <v>18647.61</v>
          </cell>
          <cell r="AV127">
            <v>190318.87</v>
          </cell>
          <cell r="AW127">
            <v>28956.818000000007</v>
          </cell>
        </row>
        <row r="128">
          <cell r="B128" t="str">
            <v>036702</v>
          </cell>
          <cell r="C128" t="str">
            <v>ANS METERING, SERVICING AND FAULTS</v>
          </cell>
          <cell r="D128">
            <v>16851606.086736504</v>
          </cell>
          <cell r="E128">
            <v>4748621.5167365056</v>
          </cell>
          <cell r="F128">
            <v>0.73366124060809068</v>
          </cell>
          <cell r="G128">
            <v>2349017.0291748568</v>
          </cell>
          <cell r="H128">
            <v>886019.93917485699</v>
          </cell>
          <cell r="I128">
            <v>0.16197225335776028</v>
          </cell>
          <cell r="J128">
            <v>2142277.61</v>
          </cell>
          <cell r="K128">
            <v>282702.44</v>
          </cell>
          <cell r="L128">
            <v>329984.204269398</v>
          </cell>
          <cell r="M128">
            <v>61291.191017843666</v>
          </cell>
          <cell r="N128">
            <v>445253.56279843103</v>
          </cell>
          <cell r="O128">
            <v>30432.711950607823</v>
          </cell>
          <cell r="P128">
            <v>396890.24086867803</v>
          </cell>
          <cell r="Q128">
            <v>138550.59417440562</v>
          </cell>
          <cell r="R128">
            <v>1172128.007936507</v>
          </cell>
          <cell r="S128">
            <v>230274.49714285712</v>
          </cell>
          <cell r="T128">
            <v>1100824.3864</v>
          </cell>
          <cell r="U128">
            <v>210125</v>
          </cell>
          <cell r="V128">
            <v>2272952.3943365067</v>
          </cell>
          <cell r="W128">
            <v>440399.49714285712</v>
          </cell>
          <cell r="X128">
            <v>4415230.0043365061</v>
          </cell>
          <cell r="Y128">
            <v>723101.93714285712</v>
          </cell>
          <cell r="Z128">
            <v>2475669.1224000002</v>
          </cell>
          <cell r="AA128">
            <v>445620.44203200005</v>
          </cell>
          <cell r="AD128">
            <v>2475669.1224000002</v>
          </cell>
          <cell r="AE128">
            <v>445620.44203200005</v>
          </cell>
          <cell r="AF128" t="e">
            <v>#N/A</v>
          </cell>
          <cell r="AG128">
            <v>39813</v>
          </cell>
          <cell r="AH128" t="e">
            <v>#N/A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2472261.8142693979</v>
          </cell>
          <cell r="AQ128">
            <v>343993.63101784367</v>
          </cell>
          <cell r="AR128">
            <v>2917515.377067829</v>
          </cell>
          <cell r="AS128">
            <v>374426.3429684515</v>
          </cell>
          <cell r="AT128">
            <v>3314405.6179365069</v>
          </cell>
          <cell r="AU128">
            <v>512976.93714285712</v>
          </cell>
          <cell r="AV128">
            <v>4415230.0043365061</v>
          </cell>
          <cell r="AW128">
            <v>723101.93714285712</v>
          </cell>
        </row>
        <row r="129">
          <cell r="B129" t="str">
            <v>036703</v>
          </cell>
          <cell r="C129" t="str">
            <v>ANS ASSET CONSTRUCTION</v>
          </cell>
          <cell r="D129">
            <v>9910847.4017650783</v>
          </cell>
          <cell r="E129">
            <v>2722491.4317650786</v>
          </cell>
          <cell r="F129">
            <v>0.74853761436856403</v>
          </cell>
          <cell r="G129">
            <v>-453870.47088939667</v>
          </cell>
          <cell r="H129">
            <v>116154.74911060318</v>
          </cell>
          <cell r="I129">
            <v>-4.3789949371111761E-2</v>
          </cell>
          <cell r="J129">
            <v>1396233.03</v>
          </cell>
          <cell r="K129">
            <v>20971.15000000014</v>
          </cell>
          <cell r="L129">
            <v>160561.51025588304</v>
          </cell>
          <cell r="M129">
            <v>6422.4604102353214</v>
          </cell>
          <cell r="N129">
            <v>268935.93605964648</v>
          </cell>
          <cell r="O129">
            <v>10757.437442385859</v>
          </cell>
          <cell r="P129">
            <v>182983.01304954942</v>
          </cell>
          <cell r="Q129">
            <v>7319.3205219819774</v>
          </cell>
          <cell r="R129">
            <v>612480.45936507895</v>
          </cell>
          <cell r="S129">
            <v>24499.218374603159</v>
          </cell>
          <cell r="T129">
            <v>674978.31839999999</v>
          </cell>
          <cell r="U129">
            <v>30999.132736</v>
          </cell>
          <cell r="V129">
            <v>1287458.7777650789</v>
          </cell>
          <cell r="W129">
            <v>55498.351110603158</v>
          </cell>
          <cell r="X129">
            <v>2683691.8077650787</v>
          </cell>
          <cell r="Y129">
            <v>76469.501110603305</v>
          </cell>
          <cell r="Z129">
            <v>1435032.6540000001</v>
          </cell>
          <cell r="AA129">
            <v>60656.398000000008</v>
          </cell>
          <cell r="AD129">
            <v>1435032.6540000001</v>
          </cell>
          <cell r="AE129">
            <v>60656.398000000008</v>
          </cell>
          <cell r="AF129" t="e">
            <v>#N/A</v>
          </cell>
          <cell r="AG129">
            <v>39813</v>
          </cell>
          <cell r="AH129" t="e">
            <v>#N/A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1556794.540255883</v>
          </cell>
          <cell r="AQ129">
            <v>27393.610410235462</v>
          </cell>
          <cell r="AR129">
            <v>1825730.4763155296</v>
          </cell>
          <cell r="AS129">
            <v>38151.047852621319</v>
          </cell>
          <cell r="AT129">
            <v>2008713.489365079</v>
          </cell>
          <cell r="AU129">
            <v>45470.368374603298</v>
          </cell>
          <cell r="AV129">
            <v>2683691.8077650787</v>
          </cell>
          <cell r="AW129">
            <v>76469.501110603305</v>
          </cell>
        </row>
        <row r="130">
          <cell r="B130" t="str">
            <v>036706</v>
          </cell>
          <cell r="C130" t="str">
            <v>ANS POLE TO PIT</v>
          </cell>
          <cell r="D130">
            <v>7763632.3036206346</v>
          </cell>
          <cell r="E130">
            <v>1973385.3736206349</v>
          </cell>
          <cell r="F130">
            <v>0.7347311393652074</v>
          </cell>
          <cell r="G130">
            <v>905285.07969103847</v>
          </cell>
          <cell r="H130">
            <v>154079.41969103843</v>
          </cell>
          <cell r="I130">
            <v>0.13199755715668496</v>
          </cell>
          <cell r="J130">
            <v>1061642.46</v>
          </cell>
          <cell r="K130">
            <v>123962.27</v>
          </cell>
          <cell r="L130">
            <v>121520.27212488766</v>
          </cell>
          <cell r="M130">
            <v>-1406.1645589616066</v>
          </cell>
          <cell r="N130">
            <v>142839.61811171009</v>
          </cell>
          <cell r="O130">
            <v>3500</v>
          </cell>
          <cell r="P130">
            <v>187610.24468403711</v>
          </cell>
          <cell r="Q130">
            <v>3226</v>
          </cell>
          <cell r="R130">
            <v>451970.13492063491</v>
          </cell>
          <cell r="S130">
            <v>5319.8354410383936</v>
          </cell>
          <cell r="T130">
            <v>455042</v>
          </cell>
          <cell r="U130">
            <v>22200</v>
          </cell>
          <cell r="V130">
            <v>907012.13492063491</v>
          </cell>
          <cell r="W130">
            <v>27519.835441038394</v>
          </cell>
          <cell r="X130">
            <v>1968654.5949206348</v>
          </cell>
          <cell r="Y130">
            <v>151482.10544103841</v>
          </cell>
          <cell r="Z130">
            <v>1066373.2386999999</v>
          </cell>
          <cell r="AA130">
            <v>126559.58424999999</v>
          </cell>
          <cell r="AD130">
            <v>1066373.2386999999</v>
          </cell>
          <cell r="AE130">
            <v>126559.58424999999</v>
          </cell>
          <cell r="AF130" t="e">
            <v>#N/A</v>
          </cell>
          <cell r="AG130">
            <v>39813</v>
          </cell>
          <cell r="AH130" t="e">
            <v>#N/A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1183162.7321248876</v>
          </cell>
          <cell r="AQ130">
            <v>122556.10544103839</v>
          </cell>
          <cell r="AR130">
            <v>1326002.3502365977</v>
          </cell>
          <cell r="AS130">
            <v>126056.10544103839</v>
          </cell>
          <cell r="AT130">
            <v>1513612.5949206348</v>
          </cell>
          <cell r="AU130">
            <v>129282.10544103839</v>
          </cell>
          <cell r="AV130">
            <v>1968654.5949206348</v>
          </cell>
          <cell r="AW130">
            <v>151482.10544103841</v>
          </cell>
        </row>
        <row r="131">
          <cell r="B131" t="str">
            <v>036709</v>
          </cell>
          <cell r="C131" t="str">
            <v>ANS TURNKEY WORKS - EXT</v>
          </cell>
          <cell r="D131">
            <v>147937</v>
          </cell>
          <cell r="E131">
            <v>0</v>
          </cell>
          <cell r="F131">
            <v>1</v>
          </cell>
          <cell r="G131">
            <v>88910.03</v>
          </cell>
          <cell r="H131">
            <v>0</v>
          </cell>
          <cell r="I131">
            <v>1.5062611209757166</v>
          </cell>
          <cell r="J131">
            <v>19200</v>
          </cell>
          <cell r="K131">
            <v>9507.85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19200</v>
          </cell>
          <cell r="Y131">
            <v>9507.85</v>
          </cell>
          <cell r="AD131">
            <v>0</v>
          </cell>
          <cell r="AE131">
            <v>0</v>
          </cell>
          <cell r="AF131" t="e">
            <v>#N/A</v>
          </cell>
          <cell r="AG131">
            <v>39813</v>
          </cell>
          <cell r="AH131" t="e">
            <v>#N/A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19200</v>
          </cell>
          <cell r="AQ131">
            <v>9507.85</v>
          </cell>
          <cell r="AR131">
            <v>19200</v>
          </cell>
          <cell r="AS131">
            <v>9507.85</v>
          </cell>
          <cell r="AT131">
            <v>19200</v>
          </cell>
          <cell r="AU131">
            <v>9507.85</v>
          </cell>
          <cell r="AV131">
            <v>19200</v>
          </cell>
          <cell r="AW131">
            <v>9507.85</v>
          </cell>
        </row>
        <row r="132">
          <cell r="B132" t="str">
            <v>MOORABBIN TOTAL</v>
          </cell>
          <cell r="D132">
            <v>35437206.78447222</v>
          </cell>
          <cell r="E132">
            <v>9636521.3844722193</v>
          </cell>
          <cell r="G132">
            <v>2977879.7052264982</v>
          </cell>
          <cell r="H132">
            <v>1185146.6252264986</v>
          </cell>
          <cell r="J132">
            <v>4732832.8099999996</v>
          </cell>
          <cell r="K132">
            <v>452540.93</v>
          </cell>
          <cell r="L132">
            <v>617962.63961869152</v>
          </cell>
          <cell r="M132">
            <v>67538.224111172836</v>
          </cell>
          <cell r="N132">
            <v>865385.72327894391</v>
          </cell>
          <cell r="O132">
            <v>44918.083747922552</v>
          </cell>
          <cell r="P132">
            <v>778233.2393245853</v>
          </cell>
          <cell r="Q132">
            <v>150887.63309940326</v>
          </cell>
          <cell r="R132">
            <v>2261581.602222221</v>
          </cell>
          <cell r="S132">
            <v>263343.94095849869</v>
          </cell>
          <cell r="T132">
            <v>2282680.8647999996</v>
          </cell>
          <cell r="U132">
            <v>273633.34073599998</v>
          </cell>
          <cell r="V132">
            <v>4544262.4670222206</v>
          </cell>
          <cell r="W132">
            <v>536977.28169449861</v>
          </cell>
          <cell r="X132">
            <v>9277095.2770222202</v>
          </cell>
          <cell r="Y132">
            <v>989518.21169449878</v>
          </cell>
          <cell r="Z132">
            <v>5092258.9174500005</v>
          </cell>
          <cell r="AA132">
            <v>648169.34353199997</v>
          </cell>
          <cell r="AB132">
            <v>0</v>
          </cell>
          <cell r="AC132">
            <v>0</v>
          </cell>
          <cell r="AD132">
            <v>5092258.9174500005</v>
          </cell>
          <cell r="AE132">
            <v>648169.34353199997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5350795.4496186916</v>
          </cell>
          <cell r="AQ132">
            <v>520079.15411117295</v>
          </cell>
          <cell r="AR132">
            <v>6216181.172897636</v>
          </cell>
          <cell r="AS132">
            <v>564997.23785909545</v>
          </cell>
          <cell r="AT132">
            <v>6994414.4122222215</v>
          </cell>
          <cell r="AU132">
            <v>715884.8709584988</v>
          </cell>
          <cell r="AV132">
            <v>9277095.2770222202</v>
          </cell>
          <cell r="AW132">
            <v>989518.21169449878</v>
          </cell>
        </row>
        <row r="133">
          <cell r="B133" t="str">
            <v>MORNINGTON DIVISION</v>
          </cell>
        </row>
        <row r="134">
          <cell r="B134" t="str">
            <v>036711</v>
          </cell>
          <cell r="C134" t="str">
            <v>ANS NETWORK MANAGEMENT</v>
          </cell>
          <cell r="D134">
            <v>473019.73545000004</v>
          </cell>
          <cell r="E134">
            <v>148752.21545000002</v>
          </cell>
          <cell r="F134">
            <v>0.74939521468991499</v>
          </cell>
          <cell r="G134">
            <v>-84831.7584015873</v>
          </cell>
          <cell r="H134">
            <v>8951.9615984127013</v>
          </cell>
          <cell r="I134">
            <v>-0.15206871243793108</v>
          </cell>
          <cell r="J134">
            <v>95342.61</v>
          </cell>
          <cell r="K134">
            <v>-4583.84</v>
          </cell>
          <cell r="L134">
            <v>3491.7852916877969</v>
          </cell>
          <cell r="M134">
            <v>907.94665150145102</v>
          </cell>
          <cell r="N134">
            <v>10839.458341368647</v>
          </cell>
          <cell r="O134">
            <v>4154.4638398045699</v>
          </cell>
          <cell r="P134">
            <v>7509.7563669435576</v>
          </cell>
          <cell r="Q134">
            <v>2318.3222071066771</v>
          </cell>
          <cell r="R134">
            <v>21841</v>
          </cell>
          <cell r="S134">
            <v>7380.7326984126985</v>
          </cell>
          <cell r="T134">
            <v>38988.04</v>
          </cell>
          <cell r="U134">
            <v>5268</v>
          </cell>
          <cell r="V134">
            <v>60829.04</v>
          </cell>
          <cell r="W134">
            <v>12648.732698412699</v>
          </cell>
          <cell r="X134">
            <v>156171.65</v>
          </cell>
          <cell r="Y134">
            <v>8064.8926984126992</v>
          </cell>
          <cell r="Z134">
            <v>87923.175449999995</v>
          </cell>
          <cell r="AA134">
            <v>-3696.7710999999999</v>
          </cell>
          <cell r="AD134">
            <v>87923.175449999995</v>
          </cell>
          <cell r="AE134">
            <v>-3696.7710999999999</v>
          </cell>
          <cell r="AF134" t="e">
            <v>#N/A</v>
          </cell>
          <cell r="AG134">
            <v>39813</v>
          </cell>
          <cell r="AH134" t="e">
            <v>#N/A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98834.395291687804</v>
          </cell>
          <cell r="AQ134">
            <v>-3675.8933484985491</v>
          </cell>
          <cell r="AR134">
            <v>109673.85363305645</v>
          </cell>
          <cell r="AS134">
            <v>478.57049130602081</v>
          </cell>
          <cell r="AT134">
            <v>117183.61000000002</v>
          </cell>
          <cell r="AU134">
            <v>2796.8926984126979</v>
          </cell>
          <cell r="AV134">
            <v>156171.65</v>
          </cell>
          <cell r="AW134">
            <v>8064.8926984126992</v>
          </cell>
        </row>
        <row r="135">
          <cell r="B135" t="str">
            <v>036712</v>
          </cell>
          <cell r="C135" t="str">
            <v>ANS METERING, SERVICING AND FAULTS</v>
          </cell>
          <cell r="D135">
            <v>15347606.662349999</v>
          </cell>
          <cell r="E135">
            <v>4081496.5923499987</v>
          </cell>
          <cell r="F135">
            <v>0.73824936300272104</v>
          </cell>
          <cell r="G135">
            <v>1324025.9742595963</v>
          </cell>
          <cell r="H135">
            <v>410815.41425959626</v>
          </cell>
          <cell r="I135">
            <v>9.4414258648223282E-2</v>
          </cell>
          <cell r="J135">
            <v>2143016.29</v>
          </cell>
          <cell r="K135">
            <v>187673.84</v>
          </cell>
          <cell r="L135">
            <v>234258.590569475</v>
          </cell>
          <cell r="M135">
            <v>5578.5799175110005</v>
          </cell>
          <cell r="N135">
            <v>315970.85954945412</v>
          </cell>
          <cell r="O135">
            <v>30174.540475859019</v>
          </cell>
          <cell r="P135">
            <v>300477.54988107079</v>
          </cell>
          <cell r="Q135">
            <v>105950.61738440799</v>
          </cell>
          <cell r="R135">
            <v>850706.99999999988</v>
          </cell>
          <cell r="S135">
            <v>141703.73777777801</v>
          </cell>
          <cell r="T135">
            <v>970459.36800000002</v>
          </cell>
          <cell r="U135">
            <v>71997.778181818197</v>
          </cell>
          <cell r="V135">
            <v>1821166.3679999998</v>
          </cell>
          <cell r="W135">
            <v>213701.5159595962</v>
          </cell>
          <cell r="X135">
            <v>3964182.6579999998</v>
          </cell>
          <cell r="Y135">
            <v>401375.35595959623</v>
          </cell>
          <cell r="Z135">
            <v>2260330.2243499998</v>
          </cell>
          <cell r="AA135">
            <v>197113.89829999997</v>
          </cell>
          <cell r="AD135">
            <v>2260330.2243499998</v>
          </cell>
          <cell r="AE135">
            <v>197113.89829999997</v>
          </cell>
          <cell r="AF135" t="e">
            <v>#N/A</v>
          </cell>
          <cell r="AG135">
            <v>39813</v>
          </cell>
          <cell r="AH135" t="e">
            <v>#N/A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2377274.8805694752</v>
          </cell>
          <cell r="AQ135">
            <v>193252.419917511</v>
          </cell>
          <cell r="AR135">
            <v>2693245.7401189292</v>
          </cell>
          <cell r="AS135">
            <v>223426.96039337001</v>
          </cell>
          <cell r="AT135">
            <v>2993723.29</v>
          </cell>
          <cell r="AU135">
            <v>329377.57777777803</v>
          </cell>
          <cell r="AV135">
            <v>3964182.6579999998</v>
          </cell>
          <cell r="AW135">
            <v>401375.35595959623</v>
          </cell>
        </row>
        <row r="136">
          <cell r="B136" t="str">
            <v>036713</v>
          </cell>
          <cell r="C136" t="str">
            <v>ANS ASSET CONSTRUCTION</v>
          </cell>
          <cell r="D136">
            <v>14173578.768880952</v>
          </cell>
          <cell r="E136">
            <v>3739743.9188809525</v>
          </cell>
          <cell r="F136">
            <v>0.76077195538133857</v>
          </cell>
          <cell r="G136">
            <v>-280416.61333333328</v>
          </cell>
          <cell r="H136">
            <v>281942.8666666667</v>
          </cell>
          <cell r="I136">
            <v>-1.9400629785615357E-2</v>
          </cell>
          <cell r="J136">
            <v>1458247.58</v>
          </cell>
          <cell r="K136">
            <v>-39602.28</v>
          </cell>
          <cell r="L136">
            <v>303143.12947428098</v>
          </cell>
          <cell r="M136">
            <v>-11379.806170883361</v>
          </cell>
          <cell r="N136">
            <v>375513.90846708202</v>
          </cell>
          <cell r="O136">
            <v>53269.731987612497</v>
          </cell>
          <cell r="P136">
            <v>331371.15443958901</v>
          </cell>
          <cell r="Q136">
            <v>37937.940849937491</v>
          </cell>
          <cell r="R136">
            <v>1010028.1923809521</v>
          </cell>
          <cell r="S136">
            <v>79827.86666666664</v>
          </cell>
          <cell r="T136">
            <v>878211</v>
          </cell>
          <cell r="U136">
            <v>60115</v>
          </cell>
          <cell r="V136">
            <v>1888239.1923809522</v>
          </cell>
          <cell r="W136">
            <v>139942.86666666664</v>
          </cell>
          <cell r="X136">
            <v>3346486.7723809523</v>
          </cell>
          <cell r="Y136">
            <v>100340.58666666664</v>
          </cell>
          <cell r="Z136">
            <v>1851504.7264999999</v>
          </cell>
          <cell r="AA136">
            <v>142000</v>
          </cell>
          <cell r="AD136">
            <v>1851504.7264999999</v>
          </cell>
          <cell r="AE136">
            <v>142000</v>
          </cell>
          <cell r="AF136" t="e">
            <v>#N/A</v>
          </cell>
          <cell r="AG136">
            <v>39813</v>
          </cell>
          <cell r="AH136" t="e">
            <v>#N/A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1761390.7094742809</v>
          </cell>
          <cell r="AQ136">
            <v>-50982.086170883362</v>
          </cell>
          <cell r="AR136">
            <v>2136904.6179413628</v>
          </cell>
          <cell r="AS136">
            <v>2287.6458167291348</v>
          </cell>
          <cell r="AT136">
            <v>2468275.7723809518</v>
          </cell>
          <cell r="AU136">
            <v>40225.586666666626</v>
          </cell>
          <cell r="AV136">
            <v>3346486.7723809523</v>
          </cell>
          <cell r="AW136">
            <v>100340.58666666664</v>
          </cell>
        </row>
        <row r="137">
          <cell r="B137" t="str">
            <v>036716</v>
          </cell>
          <cell r="C137" t="str">
            <v>ANS POLE TO PIT</v>
          </cell>
          <cell r="D137">
            <v>5946210.5293650795</v>
          </cell>
          <cell r="E137">
            <v>1588246.1793650798</v>
          </cell>
          <cell r="F137">
            <v>0.71633358370885991</v>
          </cell>
          <cell r="G137">
            <v>794215.32219920633</v>
          </cell>
          <cell r="H137">
            <v>126798.1621992063</v>
          </cell>
          <cell r="I137">
            <v>0.15415684414739711</v>
          </cell>
          <cell r="J137">
            <v>776543.25</v>
          </cell>
          <cell r="K137">
            <v>59781.060000000056</v>
          </cell>
          <cell r="L137">
            <v>102907.38095238098</v>
          </cell>
          <cell r="M137">
            <v>8232.5904761904785</v>
          </cell>
          <cell r="N137">
            <v>118915.19576719578</v>
          </cell>
          <cell r="O137">
            <v>9513.2156613756633</v>
          </cell>
          <cell r="P137">
            <v>141783.50264550268</v>
          </cell>
          <cell r="Q137">
            <v>11342.680211640214</v>
          </cell>
          <cell r="R137">
            <v>363606.07936507941</v>
          </cell>
          <cell r="S137">
            <v>29088.486349206356</v>
          </cell>
          <cell r="T137">
            <v>413532</v>
          </cell>
          <cell r="U137">
            <v>33082.559999999998</v>
          </cell>
          <cell r="V137">
            <v>777138.07936507941</v>
          </cell>
          <cell r="W137">
            <v>62171.046349206357</v>
          </cell>
          <cell r="X137">
            <v>1553681.3293650793</v>
          </cell>
          <cell r="Y137">
            <v>121952.10634920641</v>
          </cell>
          <cell r="Z137">
            <v>811108.1</v>
          </cell>
          <cell r="AA137">
            <v>64627.115850000002</v>
          </cell>
          <cell r="AD137">
            <v>811108.1</v>
          </cell>
          <cell r="AE137">
            <v>64627.115850000002</v>
          </cell>
          <cell r="AF137" t="e">
            <v>#N/A</v>
          </cell>
          <cell r="AG137" t="str">
            <v>`</v>
          </cell>
          <cell r="AH137" t="e">
            <v>#N/A</v>
          </cell>
          <cell r="AI137">
            <v>0</v>
          </cell>
          <cell r="AJ137" t="e">
            <v>#VALUE!</v>
          </cell>
          <cell r="AK137" t="e">
            <v>#VALUE!</v>
          </cell>
          <cell r="AL137">
            <v>0</v>
          </cell>
          <cell r="AM137">
            <v>-5.8207660913467407E-11</v>
          </cell>
          <cell r="AN137">
            <v>0</v>
          </cell>
          <cell r="AO137">
            <v>0</v>
          </cell>
          <cell r="AP137">
            <v>879450.63095238095</v>
          </cell>
          <cell r="AQ137">
            <v>68013.650476190538</v>
          </cell>
          <cell r="AR137">
            <v>998365.82671957673</v>
          </cell>
          <cell r="AS137">
            <v>77526.866137566205</v>
          </cell>
          <cell r="AT137">
            <v>1140149.3293650793</v>
          </cell>
          <cell r="AU137">
            <v>88869.546349206415</v>
          </cell>
          <cell r="AV137">
            <v>1553681.3293650793</v>
          </cell>
          <cell r="AW137">
            <v>121952.10634920641</v>
          </cell>
        </row>
        <row r="138">
          <cell r="B138" t="str">
            <v>036719</v>
          </cell>
          <cell r="C138" t="str">
            <v>ANS TURNKEY WORKS - EXT</v>
          </cell>
          <cell r="D138">
            <v>405051.7</v>
          </cell>
          <cell r="E138">
            <v>0</v>
          </cell>
          <cell r="F138">
            <v>1</v>
          </cell>
          <cell r="G138">
            <v>78382.86</v>
          </cell>
          <cell r="H138">
            <v>0</v>
          </cell>
          <cell r="I138">
            <v>0.23994593423725383</v>
          </cell>
          <cell r="J138">
            <v>72497.7</v>
          </cell>
          <cell r="K138">
            <v>22723.68</v>
          </cell>
          <cell r="R138">
            <v>0</v>
          </cell>
          <cell r="S138">
            <v>0</v>
          </cell>
          <cell r="V138">
            <v>0</v>
          </cell>
          <cell r="W138">
            <v>0</v>
          </cell>
          <cell r="X138">
            <v>72497.7</v>
          </cell>
          <cell r="Y138">
            <v>22723.68</v>
          </cell>
          <cell r="AD138">
            <v>0</v>
          </cell>
          <cell r="AE138">
            <v>0</v>
          </cell>
          <cell r="AF138" t="e">
            <v>#N/A</v>
          </cell>
          <cell r="AG138">
            <v>39813</v>
          </cell>
          <cell r="AH138" t="e">
            <v>#N/A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72497.7</v>
          </cell>
          <cell r="AQ138">
            <v>22723.68</v>
          </cell>
          <cell r="AR138">
            <v>72497.7</v>
          </cell>
          <cell r="AS138">
            <v>22723.68</v>
          </cell>
          <cell r="AT138">
            <v>72497.7</v>
          </cell>
          <cell r="AU138">
            <v>22723.68</v>
          </cell>
          <cell r="AV138">
            <v>72497.7</v>
          </cell>
          <cell r="AW138">
            <v>22723.68</v>
          </cell>
        </row>
        <row r="139">
          <cell r="B139" t="str">
            <v>MORNINGTON TOTAL</v>
          </cell>
          <cell r="D139">
            <v>36345467.396046035</v>
          </cell>
          <cell r="E139">
            <v>9558238.906046031</v>
          </cell>
          <cell r="G139">
            <v>1831375.7847238821</v>
          </cell>
          <cell r="H139">
            <v>828508.40472388198</v>
          </cell>
          <cell r="J139">
            <v>4545647.43</v>
          </cell>
          <cell r="K139">
            <v>225992.46</v>
          </cell>
          <cell r="L139">
            <v>643800.88628782472</v>
          </cell>
          <cell r="M139">
            <v>3339.3108743195689</v>
          </cell>
          <cell r="N139">
            <v>821239.42212510051</v>
          </cell>
          <cell r="O139">
            <v>97111.951964651758</v>
          </cell>
          <cell r="P139">
            <v>781141.96333310602</v>
          </cell>
          <cell r="Q139">
            <v>157549.56065309237</v>
          </cell>
          <cell r="R139">
            <v>2246182.2717460315</v>
          </cell>
          <cell r="S139">
            <v>258000.8234920637</v>
          </cell>
          <cell r="T139">
            <v>2301190.4079999998</v>
          </cell>
          <cell r="U139">
            <v>170463.3381818182</v>
          </cell>
          <cell r="V139">
            <v>4547372.6797460318</v>
          </cell>
          <cell r="W139">
            <v>428464.16167388193</v>
          </cell>
          <cell r="X139">
            <v>9093020.1097460315</v>
          </cell>
          <cell r="Y139">
            <v>654456.62167388201</v>
          </cell>
          <cell r="Z139">
            <v>5010866.2262999993</v>
          </cell>
          <cell r="AA139">
            <v>400044.24304999999</v>
          </cell>
          <cell r="AB139">
            <v>0</v>
          </cell>
          <cell r="AC139">
            <v>0</v>
          </cell>
          <cell r="AD139">
            <v>5010866.2262999993</v>
          </cell>
          <cell r="AE139">
            <v>400044.24304999999</v>
          </cell>
          <cell r="AL139">
            <v>0</v>
          </cell>
          <cell r="AM139">
            <v>-5.8207660913467407E-11</v>
          </cell>
          <cell r="AN139">
            <v>0</v>
          </cell>
          <cell r="AO139">
            <v>0</v>
          </cell>
          <cell r="AP139">
            <v>5189448.3162878249</v>
          </cell>
          <cell r="AQ139">
            <v>229331.7708743196</v>
          </cell>
          <cell r="AR139">
            <v>6010687.738412925</v>
          </cell>
          <cell r="AS139">
            <v>326443.72283897136</v>
          </cell>
          <cell r="AT139">
            <v>6791829.7017460316</v>
          </cell>
          <cell r="AU139">
            <v>483993.28349206375</v>
          </cell>
          <cell r="AV139">
            <v>9093020.1097460315</v>
          </cell>
          <cell r="AW139">
            <v>654456.62167388201</v>
          </cell>
        </row>
        <row r="140">
          <cell r="B140" t="str">
            <v>BURWOOD DIVISION</v>
          </cell>
        </row>
        <row r="141">
          <cell r="B141" t="str">
            <v>036721</v>
          </cell>
          <cell r="C141" t="str">
            <v>ANS NETWORK MANAGEMENT</v>
          </cell>
          <cell r="D141">
            <v>261288.85619761905</v>
          </cell>
          <cell r="E141">
            <v>102162.83619761904</v>
          </cell>
          <cell r="F141">
            <v>0.73832203709752942</v>
          </cell>
          <cell r="G141">
            <v>-73202.324603174609</v>
          </cell>
          <cell r="H141">
            <v>14633.865396825393</v>
          </cell>
          <cell r="I141">
            <v>-0.21884680016950961</v>
          </cell>
          <cell r="J141">
            <v>26944.17</v>
          </cell>
          <cell r="K141">
            <v>-1810.25</v>
          </cell>
          <cell r="L141">
            <v>18452.671022185583</v>
          </cell>
          <cell r="M141">
            <v>-295.53489166959042</v>
          </cell>
          <cell r="N141">
            <v>13910.036388293503</v>
          </cell>
          <cell r="O141">
            <v>4479.3523451235005</v>
          </cell>
          <cell r="P141">
            <v>7639.5116371399672</v>
          </cell>
          <cell r="Q141">
            <v>389.04794337148661</v>
          </cell>
          <cell r="R141">
            <v>40002.219047619052</v>
          </cell>
          <cell r="S141">
            <v>4572.8653968253966</v>
          </cell>
          <cell r="T141">
            <v>32435.727999999999</v>
          </cell>
          <cell r="U141">
            <v>5061</v>
          </cell>
          <cell r="V141">
            <v>72437.947047619047</v>
          </cell>
          <cell r="W141">
            <v>9633.8653968253966</v>
          </cell>
          <cell r="X141">
            <v>99382.117047619045</v>
          </cell>
          <cell r="Y141">
            <v>7823.6153968253966</v>
          </cell>
          <cell r="Z141">
            <v>29724.889149999995</v>
          </cell>
          <cell r="AA141">
            <v>5000</v>
          </cell>
          <cell r="AD141">
            <v>29724.889149999995</v>
          </cell>
          <cell r="AE141">
            <v>5000</v>
          </cell>
          <cell r="AF141" t="e">
            <v>#N/A</v>
          </cell>
          <cell r="AG141">
            <v>39813</v>
          </cell>
          <cell r="AH141" t="e">
            <v>#N/A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45396.841022185581</v>
          </cell>
          <cell r="AQ141">
            <v>-2105.7848916695903</v>
          </cell>
          <cell r="AR141">
            <v>59306.877410479086</v>
          </cell>
          <cell r="AS141">
            <v>2373.5674534539103</v>
          </cell>
          <cell r="AT141">
            <v>66946.389047619057</v>
          </cell>
          <cell r="AU141">
            <v>2762.6153968253971</v>
          </cell>
          <cell r="AV141">
            <v>99382.117047619045</v>
          </cell>
          <cell r="AW141">
            <v>7823.6153968253966</v>
          </cell>
        </row>
        <row r="142">
          <cell r="B142" t="str">
            <v>036722</v>
          </cell>
          <cell r="C142" t="str">
            <v>ANS METERING, SERVICING AND FAULTS</v>
          </cell>
          <cell r="D142">
            <v>15668942.289002381</v>
          </cell>
          <cell r="E142">
            <v>4122557.219002381</v>
          </cell>
          <cell r="F142">
            <v>0.73727905144026673</v>
          </cell>
          <cell r="G142">
            <v>2947919.3714539525</v>
          </cell>
          <cell r="H142">
            <v>780478.01145395217</v>
          </cell>
          <cell r="I142">
            <v>0.23173603180820854</v>
          </cell>
          <cell r="J142">
            <v>2083574.02</v>
          </cell>
          <cell r="K142">
            <v>374084.75</v>
          </cell>
          <cell r="L142">
            <v>269449.27447588131</v>
          </cell>
          <cell r="M142">
            <v>51195.362150417452</v>
          </cell>
          <cell r="N142">
            <v>362441.57583882019</v>
          </cell>
          <cell r="O142">
            <v>68863.899409375837</v>
          </cell>
          <cell r="P142">
            <v>337603.63063767942</v>
          </cell>
          <cell r="Q142">
            <v>64144.689821159089</v>
          </cell>
          <cell r="R142">
            <v>969494.48095238092</v>
          </cell>
          <cell r="S142">
            <v>184203.95138095238</v>
          </cell>
          <cell r="T142">
            <v>972276.72240000009</v>
          </cell>
          <cell r="U142">
            <v>203732.57725600002</v>
          </cell>
          <cell r="V142">
            <v>1941771.203352381</v>
          </cell>
          <cell r="W142">
            <v>387936.5286369524</v>
          </cell>
          <cell r="X142">
            <v>4025345.223352381</v>
          </cell>
          <cell r="Y142">
            <v>762021.2786369524</v>
          </cell>
          <cell r="Z142">
            <v>2180786.01565</v>
          </cell>
          <cell r="AA142">
            <v>392541.48281699995</v>
          </cell>
          <cell r="AD142">
            <v>2180786.01565</v>
          </cell>
          <cell r="AE142">
            <v>392541.48281699995</v>
          </cell>
          <cell r="AF142" t="e">
            <v>#N/A</v>
          </cell>
          <cell r="AG142">
            <v>39813</v>
          </cell>
          <cell r="AH142" t="e">
            <v>#N/A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2353023.2944758814</v>
          </cell>
          <cell r="AQ142">
            <v>425280.11215041747</v>
          </cell>
          <cell r="AR142">
            <v>2715464.8703147015</v>
          </cell>
          <cell r="AS142">
            <v>494144.01155979332</v>
          </cell>
          <cell r="AT142">
            <v>3053068.5009523807</v>
          </cell>
          <cell r="AU142">
            <v>558288.70138095238</v>
          </cell>
          <cell r="AV142">
            <v>4025345.223352381</v>
          </cell>
          <cell r="AW142">
            <v>762021.2786369524</v>
          </cell>
        </row>
        <row r="143">
          <cell r="B143" t="str">
            <v>036723</v>
          </cell>
          <cell r="C143" t="str">
            <v>ANS ASSET CONSTRUCTION</v>
          </cell>
          <cell r="D143">
            <v>9239179.432</v>
          </cell>
          <cell r="E143">
            <v>3035114.6320000002</v>
          </cell>
          <cell r="F143">
            <v>0.68225986652075965</v>
          </cell>
          <cell r="G143">
            <v>360458.01329599984</v>
          </cell>
          <cell r="H143">
            <v>213988.50329600001</v>
          </cell>
          <cell r="I143">
            <v>4.0597964087110062E-2</v>
          </cell>
          <cell r="J143">
            <v>1438672.74</v>
          </cell>
          <cell r="K143">
            <v>139088.22</v>
          </cell>
          <cell r="L143">
            <v>250224.236139299</v>
          </cell>
          <cell r="M143">
            <v>15205.69652975092</v>
          </cell>
          <cell r="N143">
            <v>234694.471061841</v>
          </cell>
          <cell r="O143">
            <v>14118.612974328869</v>
          </cell>
          <cell r="P143">
            <v>234204.29279886</v>
          </cell>
          <cell r="Q143">
            <v>14084.300495920215</v>
          </cell>
          <cell r="R143">
            <v>719123</v>
          </cell>
          <cell r="S143">
            <v>43408.61</v>
          </cell>
          <cell r="T143">
            <v>769943.72640000004</v>
          </cell>
          <cell r="U143">
            <v>46896.060848000008</v>
          </cell>
          <cell r="V143">
            <v>1489066.7264</v>
          </cell>
          <cell r="W143">
            <v>90304.670848000009</v>
          </cell>
          <cell r="X143">
            <v>2927739.4664000003</v>
          </cell>
          <cell r="Y143">
            <v>229392.89084800001</v>
          </cell>
          <cell r="Z143">
            <v>1546047.9055999999</v>
          </cell>
          <cell r="AA143">
            <v>123683.832448</v>
          </cell>
          <cell r="AD143">
            <v>1546047.9055999999</v>
          </cell>
          <cell r="AE143">
            <v>123683.832448</v>
          </cell>
          <cell r="AF143" t="e">
            <v>#N/A</v>
          </cell>
          <cell r="AG143">
            <v>39813</v>
          </cell>
          <cell r="AH143" t="e">
            <v>#N/A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1688896.9761392991</v>
          </cell>
          <cell r="AQ143">
            <v>154293.91652975092</v>
          </cell>
          <cell r="AR143">
            <v>1923591.4472011402</v>
          </cell>
          <cell r="AS143">
            <v>168412.52950407978</v>
          </cell>
          <cell r="AT143">
            <v>2157795.7400000002</v>
          </cell>
          <cell r="AU143">
            <v>182496.83</v>
          </cell>
          <cell r="AV143">
            <v>2927739.4664000003</v>
          </cell>
          <cell r="AW143">
            <v>229392.89084800001</v>
          </cell>
        </row>
        <row r="144">
          <cell r="B144" t="str">
            <v>036726</v>
          </cell>
          <cell r="C144" t="str">
            <v>ANS POLE TO PIT</v>
          </cell>
          <cell r="D144">
            <v>6553870.3393452382</v>
          </cell>
          <cell r="E144">
            <v>1846680.5293452376</v>
          </cell>
          <cell r="F144">
            <v>0.7223377274665217</v>
          </cell>
          <cell r="G144">
            <v>685070.15239047608</v>
          </cell>
          <cell r="H144">
            <v>217136.13239047612</v>
          </cell>
          <cell r="I144">
            <v>0.11673087012116345</v>
          </cell>
          <cell r="J144">
            <v>923826.73</v>
          </cell>
          <cell r="K144">
            <v>203112.22</v>
          </cell>
          <cell r="L144">
            <v>162601.44173534797</v>
          </cell>
          <cell r="M144">
            <v>17886.158590888277</v>
          </cell>
          <cell r="N144">
            <v>158146.60771520145</v>
          </cell>
          <cell r="O144">
            <v>17396.12684867216</v>
          </cell>
          <cell r="P144">
            <v>142554.68864468863</v>
          </cell>
          <cell r="Q144">
            <v>15681.015750915751</v>
          </cell>
          <cell r="R144">
            <v>463302.73809523805</v>
          </cell>
          <cell r="S144">
            <v>50963.301190476188</v>
          </cell>
          <cell r="T144">
            <v>451440.26</v>
          </cell>
          <cell r="U144">
            <v>54172.831200000001</v>
          </cell>
          <cell r="V144">
            <v>914742.99809523812</v>
          </cell>
          <cell r="W144">
            <v>105136.13239047618</v>
          </cell>
          <cell r="X144">
            <v>1838569.7280952381</v>
          </cell>
          <cell r="Y144">
            <v>308248.35239047615</v>
          </cell>
          <cell r="Z144">
            <v>931937.53124999988</v>
          </cell>
          <cell r="AA144">
            <v>112000</v>
          </cell>
          <cell r="AD144">
            <v>931937.53124999988</v>
          </cell>
          <cell r="AE144">
            <v>112000</v>
          </cell>
          <cell r="AF144" t="e">
            <v>#N/A</v>
          </cell>
          <cell r="AG144">
            <v>39813</v>
          </cell>
          <cell r="AH144" t="e">
            <v>#N/A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1086428.1717353479</v>
          </cell>
          <cell r="AQ144">
            <v>220998.37859088829</v>
          </cell>
          <cell r="AR144">
            <v>1244574.7794505493</v>
          </cell>
          <cell r="AS144">
            <v>238394.50543956045</v>
          </cell>
          <cell r="AT144">
            <v>1387129.4680952379</v>
          </cell>
          <cell r="AU144">
            <v>254075.5211904762</v>
          </cell>
          <cell r="AV144">
            <v>1838569.7280952381</v>
          </cell>
          <cell r="AW144">
            <v>308248.35239047615</v>
          </cell>
        </row>
        <row r="145">
          <cell r="B145" t="str">
            <v>036729</v>
          </cell>
          <cell r="C145" t="str">
            <v>ANS TURNKEY WORKS - EXT</v>
          </cell>
          <cell r="D145">
            <v>157256.4</v>
          </cell>
          <cell r="E145">
            <v>0</v>
          </cell>
          <cell r="F145">
            <v>1</v>
          </cell>
          <cell r="G145">
            <v>52043.360000000001</v>
          </cell>
          <cell r="H145">
            <v>0</v>
          </cell>
          <cell r="I145">
            <v>0.49464743153510254</v>
          </cell>
          <cell r="J145">
            <v>47085.01</v>
          </cell>
          <cell r="K145">
            <v>19901.46</v>
          </cell>
          <cell r="R145">
            <v>0</v>
          </cell>
          <cell r="S145">
            <v>0</v>
          </cell>
          <cell r="V145">
            <v>0</v>
          </cell>
          <cell r="W145">
            <v>0</v>
          </cell>
          <cell r="X145">
            <v>47085.01</v>
          </cell>
          <cell r="Y145">
            <v>19901.46</v>
          </cell>
          <cell r="AD145">
            <v>0</v>
          </cell>
          <cell r="AE145">
            <v>0</v>
          </cell>
          <cell r="AF145" t="e">
            <v>#N/A</v>
          </cell>
          <cell r="AG145">
            <v>39813</v>
          </cell>
          <cell r="AH145" t="e">
            <v>#N/A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47085.01</v>
          </cell>
          <cell r="AQ145">
            <v>19901.46</v>
          </cell>
          <cell r="AR145">
            <v>47085.01</v>
          </cell>
          <cell r="AS145">
            <v>19901.46</v>
          </cell>
          <cell r="AT145">
            <v>47085.01</v>
          </cell>
          <cell r="AU145">
            <v>19901.46</v>
          </cell>
          <cell r="AV145">
            <v>47085.01</v>
          </cell>
          <cell r="AW145">
            <v>19901.46</v>
          </cell>
        </row>
        <row r="146">
          <cell r="B146" t="str">
            <v>BURWOOD TOTAL</v>
          </cell>
          <cell r="D146">
            <v>31880537.316545241</v>
          </cell>
          <cell r="E146">
            <v>9106515.2165452391</v>
          </cell>
          <cell r="G146">
            <v>3972288.5725372531</v>
          </cell>
          <cell r="H146">
            <v>1226236.5125372536</v>
          </cell>
          <cell r="J146">
            <v>4520102.67</v>
          </cell>
          <cell r="K146">
            <v>734376.4</v>
          </cell>
          <cell r="L146">
            <v>700727.6233727138</v>
          </cell>
          <cell r="M146">
            <v>83991.682379387057</v>
          </cell>
          <cell r="N146">
            <v>769192.69100415614</v>
          </cell>
          <cell r="O146">
            <v>104857.99157750036</v>
          </cell>
          <cell r="P146">
            <v>722002.12371836789</v>
          </cell>
          <cell r="Q146">
            <v>94299.054011366534</v>
          </cell>
          <cell r="R146">
            <v>2191922.4380952381</v>
          </cell>
          <cell r="S146">
            <v>283148.72796825395</v>
          </cell>
          <cell r="T146">
            <v>2226096.4368000003</v>
          </cell>
          <cell r="U146">
            <v>309862.46930400003</v>
          </cell>
          <cell r="V146">
            <v>4418018.8748952383</v>
          </cell>
          <cell r="W146">
            <v>593011.19727225404</v>
          </cell>
          <cell r="X146">
            <v>8938121.5448952373</v>
          </cell>
          <cell r="Y146">
            <v>1327387.5972722541</v>
          </cell>
          <cell r="Z146">
            <v>4688496.3416499998</v>
          </cell>
          <cell r="AA146">
            <v>633225.31526499998</v>
          </cell>
          <cell r="AB146">
            <v>0</v>
          </cell>
          <cell r="AC146">
            <v>0</v>
          </cell>
          <cell r="AD146">
            <v>4688496.3416499998</v>
          </cell>
          <cell r="AE146">
            <v>633225.31526499998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5220830.293372714</v>
          </cell>
          <cell r="AQ146">
            <v>818368.08237938699</v>
          </cell>
          <cell r="AR146">
            <v>5990022.9843768701</v>
          </cell>
          <cell r="AS146">
            <v>923226.07395688747</v>
          </cell>
          <cell r="AT146">
            <v>6712025.108095238</v>
          </cell>
          <cell r="AU146">
            <v>1017525.1279682538</v>
          </cell>
          <cell r="AV146">
            <v>8938121.5448952373</v>
          </cell>
          <cell r="AW146">
            <v>1327387.5972722541</v>
          </cell>
        </row>
        <row r="147">
          <cell r="B147" t="str">
            <v>OVERHEADS</v>
          </cell>
        </row>
        <row r="148">
          <cell r="B148" t="str">
            <v>036508</v>
          </cell>
          <cell r="C148" t="str">
            <v>ANS LOGISTICS</v>
          </cell>
          <cell r="D148">
            <v>21484691.839749999</v>
          </cell>
          <cell r="E148">
            <v>5853899.7097500004</v>
          </cell>
          <cell r="F148">
            <v>0.72508595457986702</v>
          </cell>
          <cell r="G148">
            <v>814674.35377599881</v>
          </cell>
          <cell r="H148">
            <v>171421.58377599996</v>
          </cell>
          <cell r="I148">
            <v>3.9413336458414237E-2</v>
          </cell>
          <cell r="J148">
            <v>2730300.01</v>
          </cell>
          <cell r="K148">
            <v>48635.939999999944</v>
          </cell>
          <cell r="L148">
            <v>478587.5704508652</v>
          </cell>
          <cell r="M148">
            <v>32096.242443864248</v>
          </cell>
          <cell r="N148">
            <v>640901.43009933166</v>
          </cell>
          <cell r="O148">
            <v>23560.995674009799</v>
          </cell>
          <cell r="P148">
            <v>400656.99944980326</v>
          </cell>
          <cell r="Q148">
            <v>19192.761882125971</v>
          </cell>
          <cell r="R148">
            <v>1520146</v>
          </cell>
          <cell r="S148">
            <v>74850.000000000015</v>
          </cell>
          <cell r="T148">
            <v>1316135.1008000001</v>
          </cell>
          <cell r="U148">
            <v>38385.900175999966</v>
          </cell>
          <cell r="V148">
            <v>2836281.1008000001</v>
          </cell>
          <cell r="W148">
            <v>113235.90017599998</v>
          </cell>
          <cell r="X148">
            <v>5566581.1107999999</v>
          </cell>
          <cell r="Y148">
            <v>161871.84017599991</v>
          </cell>
          <cell r="Z148">
            <v>3017618.6089499998</v>
          </cell>
          <cell r="AA148">
            <v>58185.683599999997</v>
          </cell>
          <cell r="AD148">
            <v>3017618.6089499998</v>
          </cell>
          <cell r="AE148">
            <v>58185.683599999997</v>
          </cell>
          <cell r="AF148" t="e">
            <v>#N/A</v>
          </cell>
          <cell r="AG148">
            <v>39813</v>
          </cell>
          <cell r="AH148" t="e">
            <v>#N/A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3208887.580450865</v>
          </cell>
          <cell r="AQ148">
            <v>80732.182443864192</v>
          </cell>
          <cell r="AR148">
            <v>3849789.0105501967</v>
          </cell>
          <cell r="AS148">
            <v>104293.17811787399</v>
          </cell>
          <cell r="AT148">
            <v>4250446.01</v>
          </cell>
          <cell r="AU148">
            <v>123485.93999999996</v>
          </cell>
          <cell r="AV148">
            <v>5566581.1107999999</v>
          </cell>
          <cell r="AW148">
            <v>161871.84017599991</v>
          </cell>
        </row>
        <row r="149">
          <cell r="B149" t="str">
            <v>036518</v>
          </cell>
          <cell r="C149" t="str">
            <v>ANS LOGISTICS MTN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R149">
            <v>0</v>
          </cell>
          <cell r="S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AD149">
            <v>0</v>
          </cell>
          <cell r="AE149">
            <v>0</v>
          </cell>
          <cell r="AF149" t="e">
            <v>#N/A</v>
          </cell>
          <cell r="AG149">
            <v>39813</v>
          </cell>
          <cell r="AH149" t="e">
            <v>#N/A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B150" t="str">
            <v>036739</v>
          </cell>
          <cell r="C150" t="str">
            <v>ANS CAPITAL WORKS</v>
          </cell>
          <cell r="D150">
            <v>22383351.560000002</v>
          </cell>
          <cell r="E150">
            <v>10290543.920000002</v>
          </cell>
          <cell r="F150">
            <v>0.54128966092165898</v>
          </cell>
          <cell r="G150">
            <v>2172658.3770328006</v>
          </cell>
          <cell r="H150">
            <v>1019689.9970328002</v>
          </cell>
          <cell r="I150">
            <v>0.10750043837505949</v>
          </cell>
          <cell r="J150">
            <v>3248707.25</v>
          </cell>
          <cell r="K150">
            <v>321943.95</v>
          </cell>
          <cell r="L150">
            <v>769901.73684210528</v>
          </cell>
          <cell r="M150">
            <v>76289.56310368421</v>
          </cell>
          <cell r="N150">
            <v>769901.73684210528</v>
          </cell>
          <cell r="O150">
            <v>76289.56310368421</v>
          </cell>
          <cell r="P150">
            <v>710678.52631578944</v>
          </cell>
          <cell r="Q150">
            <v>70421.135172631577</v>
          </cell>
          <cell r="R150">
            <v>2250482</v>
          </cell>
          <cell r="S150">
            <v>223000.26137999998</v>
          </cell>
          <cell r="T150">
            <v>2750000</v>
          </cell>
          <cell r="U150">
            <v>272497.5</v>
          </cell>
          <cell r="V150">
            <v>5000482</v>
          </cell>
          <cell r="W150">
            <v>495497.76137999998</v>
          </cell>
          <cell r="X150">
            <v>8249189.25</v>
          </cell>
          <cell r="Y150">
            <v>817441.71137999999</v>
          </cell>
          <cell r="Z150">
            <v>5290061.92</v>
          </cell>
          <cell r="AA150">
            <v>524192.23565280007</v>
          </cell>
          <cell r="AD150">
            <v>5290061.92</v>
          </cell>
          <cell r="AE150">
            <v>524192.23565280007</v>
          </cell>
          <cell r="AF150" t="e">
            <v>#N/A</v>
          </cell>
          <cell r="AG150">
            <v>39813</v>
          </cell>
          <cell r="AH150" t="e">
            <v>#N/A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4018608.9868421052</v>
          </cell>
          <cell r="AQ150">
            <v>398233.51310368424</v>
          </cell>
          <cell r="AR150">
            <v>4788510.7236842103</v>
          </cell>
          <cell r="AS150">
            <v>474523.07620736846</v>
          </cell>
          <cell r="AT150">
            <v>5499189.25</v>
          </cell>
          <cell r="AU150">
            <v>544944.21137999999</v>
          </cell>
          <cell r="AV150">
            <v>8249189.25</v>
          </cell>
          <cell r="AW150">
            <v>817441.71137999999</v>
          </cell>
        </row>
        <row r="151">
          <cell r="B151" t="str">
            <v>036749</v>
          </cell>
          <cell r="C151" t="str">
            <v>SP AUSNET MAINTENANCE WORKS</v>
          </cell>
          <cell r="D151">
            <v>2439285.0299999998</v>
          </cell>
          <cell r="E151">
            <v>1145000</v>
          </cell>
          <cell r="F151">
            <v>0.52341576692663905</v>
          </cell>
          <cell r="G151">
            <v>826348.75</v>
          </cell>
          <cell r="H151">
            <v>376300</v>
          </cell>
          <cell r="I151">
            <v>0.51232572560150991</v>
          </cell>
          <cell r="J151">
            <v>1294285.03</v>
          </cell>
          <cell r="K151">
            <v>450048.75</v>
          </cell>
          <cell r="L151">
            <v>120000</v>
          </cell>
          <cell r="M151">
            <v>40800</v>
          </cell>
          <cell r="N151">
            <v>320000</v>
          </cell>
          <cell r="O151">
            <v>102400</v>
          </cell>
          <cell r="P151">
            <v>330000</v>
          </cell>
          <cell r="Q151">
            <v>105600</v>
          </cell>
          <cell r="R151">
            <v>770000</v>
          </cell>
          <cell r="S151">
            <v>248800</v>
          </cell>
          <cell r="T151">
            <v>375000</v>
          </cell>
          <cell r="U151">
            <v>127500</v>
          </cell>
          <cell r="V151">
            <v>1145000</v>
          </cell>
          <cell r="W151">
            <v>376300</v>
          </cell>
          <cell r="X151">
            <v>2439285.0300000003</v>
          </cell>
          <cell r="Y151">
            <v>826348.75</v>
          </cell>
          <cell r="AD151">
            <v>0</v>
          </cell>
          <cell r="AE151">
            <v>0</v>
          </cell>
          <cell r="AF151" t="e">
            <v>#N/A</v>
          </cell>
          <cell r="AG151">
            <v>39813</v>
          </cell>
          <cell r="AH151" t="e">
            <v>#N/A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1414285.03</v>
          </cell>
          <cell r="AQ151">
            <v>490848.75</v>
          </cell>
          <cell r="AR151">
            <v>1734285.03</v>
          </cell>
          <cell r="AS151">
            <v>593248.75</v>
          </cell>
          <cell r="AT151">
            <v>2064285.03</v>
          </cell>
          <cell r="AU151">
            <v>698848.75</v>
          </cell>
          <cell r="AV151">
            <v>2439285.0300000003</v>
          </cell>
          <cell r="AW151">
            <v>826348.75</v>
          </cell>
        </row>
        <row r="152">
          <cell r="B152" t="str">
            <v>036790</v>
          </cell>
          <cell r="C152" t="str">
            <v>ANS ADMINISTRATION</v>
          </cell>
          <cell r="D152">
            <v>0</v>
          </cell>
          <cell r="E152">
            <v>0</v>
          </cell>
          <cell r="F152">
            <v>0.33931239736913149</v>
          </cell>
          <cell r="G152">
            <v>-4149657.1623</v>
          </cell>
          <cell r="H152">
            <v>-2741627.0422999999</v>
          </cell>
          <cell r="I152">
            <v>-1</v>
          </cell>
          <cell r="J152">
            <v>0</v>
          </cell>
          <cell r="K152">
            <v>-1408030.12</v>
          </cell>
          <cell r="M152">
            <v>-275000</v>
          </cell>
          <cell r="O152">
            <v>-240000</v>
          </cell>
          <cell r="Q152">
            <v>-240000</v>
          </cell>
          <cell r="R152">
            <v>0</v>
          </cell>
          <cell r="S152">
            <v>-755000</v>
          </cell>
          <cell r="T152">
            <v>0</v>
          </cell>
          <cell r="U152">
            <v>-700000</v>
          </cell>
          <cell r="V152">
            <v>0</v>
          </cell>
          <cell r="W152">
            <v>-1455000</v>
          </cell>
          <cell r="X152">
            <v>0</v>
          </cell>
          <cell r="Y152">
            <v>-2863030.12</v>
          </cell>
          <cell r="Z152">
            <v>0</v>
          </cell>
          <cell r="AA152">
            <v>-1286627.0422999999</v>
          </cell>
          <cell r="AD152">
            <v>0</v>
          </cell>
          <cell r="AE152">
            <v>-1286627.0422999999</v>
          </cell>
          <cell r="AF152" t="e">
            <v>#N/A</v>
          </cell>
          <cell r="AG152">
            <v>39813</v>
          </cell>
          <cell r="AH152" t="e">
            <v>#N/A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-1683030.12</v>
          </cell>
          <cell r="AR152">
            <v>0</v>
          </cell>
          <cell r="AS152">
            <v>-1923030.12</v>
          </cell>
          <cell r="AT152">
            <v>0</v>
          </cell>
          <cell r="AU152">
            <v>-2163030.12</v>
          </cell>
          <cell r="AV152">
            <v>0</v>
          </cell>
          <cell r="AW152">
            <v>-2863030.12</v>
          </cell>
        </row>
        <row r="153">
          <cell r="B153" t="str">
            <v>036791</v>
          </cell>
          <cell r="C153" t="str">
            <v>ANS OVERSEAS RECRUITMENT</v>
          </cell>
          <cell r="D153">
            <v>0</v>
          </cell>
          <cell r="E153">
            <v>0</v>
          </cell>
          <cell r="F153">
            <v>0.32666316289872205</v>
          </cell>
          <cell r="G153">
            <v>-717323</v>
          </cell>
          <cell r="H153">
            <v>-483000</v>
          </cell>
          <cell r="I153">
            <v>-1</v>
          </cell>
          <cell r="J153">
            <v>0</v>
          </cell>
          <cell r="K153">
            <v>-234323</v>
          </cell>
          <cell r="M153">
            <v>-115000</v>
          </cell>
          <cell r="O153">
            <v>-15000</v>
          </cell>
          <cell r="Q153">
            <v>-105000</v>
          </cell>
          <cell r="R153">
            <v>0</v>
          </cell>
          <cell r="S153">
            <v>-235000</v>
          </cell>
          <cell r="T153">
            <v>0</v>
          </cell>
          <cell r="U153">
            <v>-90000</v>
          </cell>
          <cell r="V153">
            <v>0</v>
          </cell>
          <cell r="W153">
            <v>-325000</v>
          </cell>
          <cell r="X153">
            <v>0</v>
          </cell>
          <cell r="Y153">
            <v>-559323</v>
          </cell>
          <cell r="Z153">
            <v>0</v>
          </cell>
          <cell r="AA153">
            <v>-158000</v>
          </cell>
          <cell r="AD153">
            <v>0</v>
          </cell>
          <cell r="AE153">
            <v>-158000</v>
          </cell>
          <cell r="AF153" t="e">
            <v>#N/A</v>
          </cell>
          <cell r="AG153">
            <v>39813</v>
          </cell>
          <cell r="AH153" t="e">
            <v>#N/A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-349323</v>
          </cell>
          <cell r="AR153">
            <v>0</v>
          </cell>
          <cell r="AS153">
            <v>-364323</v>
          </cell>
          <cell r="AT153">
            <v>0</v>
          </cell>
          <cell r="AU153">
            <v>-469323</v>
          </cell>
          <cell r="AV153">
            <v>0</v>
          </cell>
          <cell r="AW153">
            <v>-559323</v>
          </cell>
        </row>
        <row r="154">
          <cell r="B154" t="str">
            <v>OVERHEADS TOTAL</v>
          </cell>
          <cell r="D154">
            <v>46307328.429750003</v>
          </cell>
          <cell r="E154">
            <v>17289443.629750002</v>
          </cell>
          <cell r="G154">
            <v>-1053298.6814912008</v>
          </cell>
          <cell r="H154">
            <v>-1657215.4614911997</v>
          </cell>
          <cell r="J154">
            <v>7273292.29</v>
          </cell>
          <cell r="K154">
            <v>-821724.48</v>
          </cell>
          <cell r="L154">
            <v>1368489.3072929704</v>
          </cell>
          <cell r="M154">
            <v>-240814.19445245154</v>
          </cell>
          <cell r="N154">
            <v>1730803.1669414369</v>
          </cell>
          <cell r="O154">
            <v>-52749.441222305992</v>
          </cell>
          <cell r="P154">
            <v>1441335.5257655927</v>
          </cell>
          <cell r="Q154">
            <v>-149786.10294524246</v>
          </cell>
          <cell r="R154">
            <v>4540628</v>
          </cell>
          <cell r="S154">
            <v>-443349.73861999996</v>
          </cell>
          <cell r="T154">
            <v>4441135.1008000001</v>
          </cell>
          <cell r="U154">
            <v>-351616.59982400003</v>
          </cell>
          <cell r="V154">
            <v>8981763.1008000001</v>
          </cell>
          <cell r="W154">
            <v>-794966.33844399999</v>
          </cell>
          <cell r="X154">
            <v>16255055.390799999</v>
          </cell>
          <cell r="Y154">
            <v>-1616690.8184440001</v>
          </cell>
          <cell r="Z154">
            <v>8307680.5289500002</v>
          </cell>
          <cell r="AA154">
            <v>-862249.1230471998</v>
          </cell>
          <cell r="AB154">
            <v>0</v>
          </cell>
          <cell r="AC154">
            <v>0</v>
          </cell>
          <cell r="AD154">
            <v>8307680.5289500002</v>
          </cell>
          <cell r="AE154">
            <v>-862249.1230471998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8641781.597292969</v>
          </cell>
          <cell r="AQ154">
            <v>-1062538.6744524518</v>
          </cell>
          <cell r="AR154">
            <v>10372584.764234407</v>
          </cell>
          <cell r="AS154">
            <v>-1115288.1156747576</v>
          </cell>
          <cell r="AT154">
            <v>11813920.289999999</v>
          </cell>
          <cell r="AU154">
            <v>-1265074.2186200002</v>
          </cell>
          <cell r="AV154">
            <v>16255055.390799999</v>
          </cell>
          <cell r="AW154">
            <v>-1616690.8184440001</v>
          </cell>
        </row>
        <row r="155">
          <cell r="B155" t="str">
            <v xml:space="preserve">TOTAL ALINTA </v>
          </cell>
          <cell r="D155">
            <v>149970539.92681348</v>
          </cell>
          <cell r="E155">
            <v>45590719.136813492</v>
          </cell>
          <cell r="G155">
            <v>7728245.3809964331</v>
          </cell>
          <cell r="H155">
            <v>1582676.0809964347</v>
          </cell>
          <cell r="J155">
            <v>21071875.199999999</v>
          </cell>
          <cell r="K155">
            <v>591185.31000000006</v>
          </cell>
          <cell r="L155">
            <v>3330980.4565722002</v>
          </cell>
          <cell r="M155">
            <v>-85944.977087572101</v>
          </cell>
          <cell r="N155">
            <v>4186621.0033496376</v>
          </cell>
          <cell r="O155">
            <v>194138.58606776869</v>
          </cell>
          <cell r="P155">
            <v>3722712.8521416518</v>
          </cell>
          <cell r="Q155">
            <v>252950.14481861968</v>
          </cell>
          <cell r="R155">
            <v>11240314.312063491</v>
          </cell>
          <cell r="S155">
            <v>361143.75379881635</v>
          </cell>
          <cell r="T155">
            <v>11251102.8104</v>
          </cell>
          <cell r="U155">
            <v>402342.54839781823</v>
          </cell>
          <cell r="V155">
            <v>22491417.122463491</v>
          </cell>
          <cell r="W155">
            <v>763486.30219663458</v>
          </cell>
          <cell r="X155">
            <v>43563292.32246349</v>
          </cell>
          <cell r="Y155">
            <v>1354671.612196635</v>
          </cell>
          <cell r="Z155">
            <v>23099302.014350001</v>
          </cell>
          <cell r="AA155">
            <v>819189.77879979997</v>
          </cell>
          <cell r="AB155">
            <v>0</v>
          </cell>
          <cell r="AC155">
            <v>0</v>
          </cell>
          <cell r="AD155">
            <v>23099302.014350001</v>
          </cell>
          <cell r="AE155">
            <v>819189.77879979997</v>
          </cell>
          <cell r="AL155">
            <v>0</v>
          </cell>
          <cell r="AM155">
            <v>-5.8207660913467407E-11</v>
          </cell>
          <cell r="AN155">
            <v>0</v>
          </cell>
          <cell r="AO155">
            <v>0</v>
          </cell>
          <cell r="AP155">
            <v>24402855.6565722</v>
          </cell>
          <cell r="AQ155">
            <v>505240.33291242784</v>
          </cell>
          <cell r="AR155">
            <v>28589476.65992184</v>
          </cell>
          <cell r="AS155">
            <v>699378.91898019658</v>
          </cell>
          <cell r="AT155">
            <v>32312189.512063488</v>
          </cell>
          <cell r="AU155">
            <v>952329.06379881618</v>
          </cell>
          <cell r="AV155">
            <v>43563292.32246349</v>
          </cell>
          <cell r="AW155">
            <v>1354671.612196635</v>
          </cell>
        </row>
        <row r="156">
          <cell r="B156" t="str">
            <v>CHAMP</v>
          </cell>
        </row>
        <row r="157">
          <cell r="B157" t="str">
            <v>037001</v>
          </cell>
          <cell r="C157" t="str">
            <v>SOUTH GIPPSLAND GAS EXTENTION</v>
          </cell>
          <cell r="D157">
            <v>6143986.8499999996</v>
          </cell>
          <cell r="E157">
            <v>5404000</v>
          </cell>
          <cell r="F157">
            <v>9.5296825656052131E-2</v>
          </cell>
          <cell r="G157">
            <v>1108744.21</v>
          </cell>
          <cell r="H157">
            <v>848600</v>
          </cell>
          <cell r="I157">
            <v>0.22019677883884461</v>
          </cell>
          <cell r="J157">
            <v>739986.85</v>
          </cell>
          <cell r="K157">
            <v>260144.21</v>
          </cell>
          <cell r="L157">
            <v>141000</v>
          </cell>
          <cell r="M157">
            <v>19150</v>
          </cell>
          <cell r="N157">
            <v>213000</v>
          </cell>
          <cell r="O157">
            <v>51950</v>
          </cell>
          <cell r="P157">
            <v>250000</v>
          </cell>
          <cell r="Q157">
            <v>57500</v>
          </cell>
          <cell r="R157">
            <v>604000</v>
          </cell>
          <cell r="S157">
            <v>128600</v>
          </cell>
          <cell r="T157">
            <v>960000</v>
          </cell>
          <cell r="U157">
            <v>144000</v>
          </cell>
          <cell r="V157">
            <v>1564000</v>
          </cell>
          <cell r="W157">
            <v>272600</v>
          </cell>
          <cell r="X157">
            <v>2303986.85</v>
          </cell>
          <cell r="Y157">
            <v>532744.21</v>
          </cell>
          <cell r="Z157">
            <v>1920000</v>
          </cell>
          <cell r="AA157">
            <v>288000</v>
          </cell>
          <cell r="AB157">
            <v>1920000</v>
          </cell>
          <cell r="AC157">
            <v>288000</v>
          </cell>
          <cell r="AD157">
            <v>3840000</v>
          </cell>
          <cell r="AE157">
            <v>576000</v>
          </cell>
          <cell r="AF157" t="e">
            <v>#N/A</v>
          </cell>
          <cell r="AG157">
            <v>0</v>
          </cell>
          <cell r="AH157" t="e">
            <v>#N/A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880986.85</v>
          </cell>
          <cell r="AQ157">
            <v>279294.20999999996</v>
          </cell>
          <cell r="AR157">
            <v>1093986.8500000001</v>
          </cell>
          <cell r="AS157">
            <v>331244.20999999996</v>
          </cell>
          <cell r="AT157">
            <v>1343986.85</v>
          </cell>
          <cell r="AU157">
            <v>388744.20999999996</v>
          </cell>
          <cell r="AV157">
            <v>2303986.85</v>
          </cell>
          <cell r="AW157">
            <v>532744.21</v>
          </cell>
        </row>
        <row r="158">
          <cell r="B158" t="str">
            <v>037070</v>
          </cell>
          <cell r="C158" t="str">
            <v>SUNDRY CAPITAL WORKS - GAS</v>
          </cell>
          <cell r="D158">
            <v>3224018.52</v>
          </cell>
          <cell r="E158">
            <v>1492000</v>
          </cell>
          <cell r="F158">
            <v>0.54077628269470512</v>
          </cell>
          <cell r="G158">
            <v>565401.48</v>
          </cell>
          <cell r="H158">
            <v>271100</v>
          </cell>
          <cell r="I158">
            <v>0.21266751528832448</v>
          </cell>
          <cell r="J158">
            <v>1732018.52</v>
          </cell>
          <cell r="K158">
            <v>294301.48</v>
          </cell>
          <cell r="L158">
            <v>342000</v>
          </cell>
          <cell r="M158">
            <v>49850</v>
          </cell>
          <cell r="N158">
            <v>575000</v>
          </cell>
          <cell r="O158">
            <v>110625</v>
          </cell>
          <cell r="P158">
            <v>575000</v>
          </cell>
          <cell r="Q158">
            <v>110625</v>
          </cell>
          <cell r="R158">
            <v>1492000</v>
          </cell>
          <cell r="S158">
            <v>271100</v>
          </cell>
          <cell r="V158">
            <v>1492000</v>
          </cell>
          <cell r="W158">
            <v>271100</v>
          </cell>
          <cell r="X158">
            <v>3224018.52</v>
          </cell>
          <cell r="Y158">
            <v>565401.48</v>
          </cell>
          <cell r="AD158">
            <v>0</v>
          </cell>
          <cell r="AE158">
            <v>0</v>
          </cell>
          <cell r="AF158" t="e">
            <v>#N/A</v>
          </cell>
          <cell r="AG158">
            <v>0</v>
          </cell>
          <cell r="AH158" t="e">
            <v>#N/A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2074018.52</v>
          </cell>
          <cell r="AQ158">
            <v>344151.48</v>
          </cell>
          <cell r="AR158">
            <v>2649018.52</v>
          </cell>
          <cell r="AS158">
            <v>454776.48</v>
          </cell>
          <cell r="AT158">
            <v>3224018.52</v>
          </cell>
          <cell r="AU158">
            <v>565401.48</v>
          </cell>
          <cell r="AV158">
            <v>3224018.52</v>
          </cell>
          <cell r="AW158">
            <v>565401.48</v>
          </cell>
        </row>
        <row r="159">
          <cell r="B159" t="str">
            <v>037071</v>
          </cell>
          <cell r="C159" t="str">
            <v>SUNDRY CAPITAL WORKS - POWER</v>
          </cell>
          <cell r="D159">
            <v>513770</v>
          </cell>
          <cell r="E159">
            <v>280000</v>
          </cell>
          <cell r="F159">
            <v>0.45353836053606367</v>
          </cell>
          <cell r="G159">
            <v>93612.42</v>
          </cell>
          <cell r="H159">
            <v>50400</v>
          </cell>
          <cell r="I159">
            <v>0.22280312067677083</v>
          </cell>
          <cell r="J159">
            <v>233770</v>
          </cell>
          <cell r="K159">
            <v>43212.42</v>
          </cell>
          <cell r="L159">
            <v>80000</v>
          </cell>
          <cell r="M159">
            <v>14400</v>
          </cell>
          <cell r="N159">
            <v>100000</v>
          </cell>
          <cell r="O159">
            <v>18000</v>
          </cell>
          <cell r="P159">
            <v>100000</v>
          </cell>
          <cell r="Q159">
            <v>18000</v>
          </cell>
          <cell r="R159">
            <v>280000</v>
          </cell>
          <cell r="S159">
            <v>50400</v>
          </cell>
          <cell r="V159">
            <v>280000</v>
          </cell>
          <cell r="W159">
            <v>50400</v>
          </cell>
          <cell r="X159">
            <v>513770</v>
          </cell>
          <cell r="Y159">
            <v>93612.42</v>
          </cell>
          <cell r="AD159">
            <v>0</v>
          </cell>
          <cell r="AE159">
            <v>0</v>
          </cell>
          <cell r="AF159" t="e">
            <v>#N/A</v>
          </cell>
          <cell r="AG159">
            <v>0</v>
          </cell>
          <cell r="AH159" t="e">
            <v>#N/A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313770</v>
          </cell>
          <cell r="AQ159">
            <v>57612.42</v>
          </cell>
          <cell r="AR159">
            <v>413770</v>
          </cell>
          <cell r="AS159">
            <v>75612.42</v>
          </cell>
          <cell r="AT159">
            <v>513770</v>
          </cell>
          <cell r="AU159">
            <v>93612.42</v>
          </cell>
          <cell r="AV159">
            <v>513770</v>
          </cell>
          <cell r="AW159">
            <v>93612.42</v>
          </cell>
        </row>
        <row r="160">
          <cell r="B160" t="str">
            <v>037072</v>
          </cell>
          <cell r="C160" t="str">
            <v>SUNDRY CAPITAL WORKS - COMMS</v>
          </cell>
          <cell r="D160">
            <v>3300</v>
          </cell>
          <cell r="E160">
            <v>0</v>
          </cell>
          <cell r="F160">
            <v>1</v>
          </cell>
          <cell r="G160">
            <v>701.36</v>
          </cell>
          <cell r="H160">
            <v>0</v>
          </cell>
          <cell r="I160">
            <v>0.26989502201151372</v>
          </cell>
          <cell r="J160">
            <v>3300</v>
          </cell>
          <cell r="K160">
            <v>701.36</v>
          </cell>
          <cell r="R160">
            <v>0</v>
          </cell>
          <cell r="S160">
            <v>0</v>
          </cell>
          <cell r="V160">
            <v>0</v>
          </cell>
          <cell r="W160">
            <v>0</v>
          </cell>
          <cell r="X160">
            <v>3300</v>
          </cell>
          <cell r="Y160">
            <v>701.36</v>
          </cell>
          <cell r="AD160">
            <v>0</v>
          </cell>
          <cell r="AE160">
            <v>0</v>
          </cell>
          <cell r="AF160" t="e">
            <v>#N/A</v>
          </cell>
          <cell r="AG160">
            <v>0</v>
          </cell>
          <cell r="AH160" t="e">
            <v>#N/A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3300</v>
          </cell>
          <cell r="AQ160">
            <v>701.36</v>
          </cell>
          <cell r="AR160">
            <v>3300</v>
          </cell>
          <cell r="AS160">
            <v>701.36</v>
          </cell>
          <cell r="AT160">
            <v>3300</v>
          </cell>
          <cell r="AU160">
            <v>701.36</v>
          </cell>
          <cell r="AV160">
            <v>3300</v>
          </cell>
          <cell r="AW160">
            <v>701.36</v>
          </cell>
        </row>
        <row r="161">
          <cell r="B161" t="str">
            <v>037073</v>
          </cell>
          <cell r="C161" t="str">
            <v>SUNDRY CAPITAL WORKS - POLE TO PIT</v>
          </cell>
          <cell r="D161">
            <v>45915</v>
          </cell>
          <cell r="E161">
            <v>20000</v>
          </cell>
          <cell r="F161">
            <v>0.58022466375995574</v>
          </cell>
          <cell r="G161">
            <v>17328.28</v>
          </cell>
          <cell r="H161">
            <v>8000</v>
          </cell>
          <cell r="I161">
            <v>0.60616538028846956</v>
          </cell>
          <cell r="J161">
            <v>25915</v>
          </cell>
          <cell r="K161">
            <v>9328.2800000000007</v>
          </cell>
          <cell r="L161">
            <v>5000</v>
          </cell>
          <cell r="M161">
            <v>2000</v>
          </cell>
          <cell r="N161">
            <v>7000</v>
          </cell>
          <cell r="O161">
            <v>2800</v>
          </cell>
          <cell r="P161">
            <v>8000</v>
          </cell>
          <cell r="Q161">
            <v>3200</v>
          </cell>
          <cell r="R161">
            <v>20000</v>
          </cell>
          <cell r="S161">
            <v>8000</v>
          </cell>
          <cell r="V161">
            <v>20000</v>
          </cell>
          <cell r="W161">
            <v>8000</v>
          </cell>
          <cell r="X161">
            <v>45915</v>
          </cell>
          <cell r="Y161">
            <v>17328.28</v>
          </cell>
          <cell r="AD161">
            <v>0</v>
          </cell>
          <cell r="AE161">
            <v>0</v>
          </cell>
          <cell r="AF161" t="e">
            <v>#N/A</v>
          </cell>
          <cell r="AG161">
            <v>0</v>
          </cell>
          <cell r="AH161" t="e">
            <v>#N/A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30915</v>
          </cell>
          <cell r="AQ161">
            <v>11328.28</v>
          </cell>
          <cell r="AR161">
            <v>37915</v>
          </cell>
          <cell r="AS161">
            <v>14128.28</v>
          </cell>
          <cell r="AT161">
            <v>45915</v>
          </cell>
          <cell r="AU161">
            <v>17328.28</v>
          </cell>
          <cell r="AV161">
            <v>45915</v>
          </cell>
          <cell r="AW161">
            <v>17328.28</v>
          </cell>
        </row>
        <row r="162">
          <cell r="B162" t="str">
            <v>037090</v>
          </cell>
          <cell r="C162" t="str">
            <v>ADMINISTRATION</v>
          </cell>
          <cell r="D162">
            <v>0</v>
          </cell>
          <cell r="E162">
            <v>0</v>
          </cell>
          <cell r="F162">
            <v>0.35050057059215833</v>
          </cell>
          <cell r="G162">
            <v>-1447268.4</v>
          </cell>
          <cell r="H162">
            <v>-940000</v>
          </cell>
          <cell r="I162">
            <v>-1</v>
          </cell>
          <cell r="J162">
            <v>0</v>
          </cell>
          <cell r="K162">
            <v>-507268.4</v>
          </cell>
          <cell r="M162">
            <v>-140000</v>
          </cell>
          <cell r="O162">
            <v>-140000</v>
          </cell>
          <cell r="Q162">
            <v>-140000</v>
          </cell>
          <cell r="R162">
            <v>0</v>
          </cell>
          <cell r="S162">
            <v>-420000</v>
          </cell>
          <cell r="U162">
            <v>-100000</v>
          </cell>
          <cell r="V162">
            <v>0</v>
          </cell>
          <cell r="W162">
            <v>-520000</v>
          </cell>
          <cell r="X162">
            <v>0</v>
          </cell>
          <cell r="Y162">
            <v>-1027268.4</v>
          </cell>
          <cell r="AA162">
            <v>-210000</v>
          </cell>
          <cell r="AC162">
            <v>-210000</v>
          </cell>
          <cell r="AD162">
            <v>0</v>
          </cell>
          <cell r="AE162">
            <v>-420000</v>
          </cell>
          <cell r="AF162" t="e">
            <v>#N/A</v>
          </cell>
          <cell r="AG162">
            <v>0</v>
          </cell>
          <cell r="AH162" t="e">
            <v>#N/A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-647268.4</v>
          </cell>
          <cell r="AR162">
            <v>0</v>
          </cell>
          <cell r="AS162">
            <v>-787268.4</v>
          </cell>
          <cell r="AT162">
            <v>0</v>
          </cell>
          <cell r="AU162">
            <v>-927268.4</v>
          </cell>
          <cell r="AV162">
            <v>0</v>
          </cell>
          <cell r="AW162">
            <v>-1027268.4</v>
          </cell>
        </row>
        <row r="163">
          <cell r="B163" t="str">
            <v>TOTAL CHAMP</v>
          </cell>
          <cell r="D163">
            <v>9930990.3699999992</v>
          </cell>
          <cell r="E163">
            <v>7196000</v>
          </cell>
          <cell r="G163">
            <v>338519.35</v>
          </cell>
          <cell r="H163">
            <v>238100</v>
          </cell>
          <cell r="J163">
            <v>2734990.37</v>
          </cell>
          <cell r="K163">
            <v>100419.35</v>
          </cell>
          <cell r="L163">
            <v>568000</v>
          </cell>
          <cell r="M163">
            <v>-54600</v>
          </cell>
          <cell r="N163">
            <v>895000</v>
          </cell>
          <cell r="O163">
            <v>43375</v>
          </cell>
          <cell r="P163">
            <v>933000</v>
          </cell>
          <cell r="Q163">
            <v>49325</v>
          </cell>
          <cell r="R163">
            <v>2396000</v>
          </cell>
          <cell r="S163">
            <v>38100</v>
          </cell>
          <cell r="T163">
            <v>960000</v>
          </cell>
          <cell r="U163">
            <v>44000</v>
          </cell>
          <cell r="V163">
            <v>3356000</v>
          </cell>
          <cell r="W163">
            <v>82100</v>
          </cell>
          <cell r="X163">
            <v>6090990.3700000001</v>
          </cell>
          <cell r="Y163">
            <v>182519.34999999998</v>
          </cell>
          <cell r="Z163">
            <v>1920000</v>
          </cell>
          <cell r="AA163">
            <v>78000</v>
          </cell>
          <cell r="AB163">
            <v>1920000</v>
          </cell>
          <cell r="AC163">
            <v>78000</v>
          </cell>
          <cell r="AD163">
            <v>3840000</v>
          </cell>
          <cell r="AE163">
            <v>156000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3302990.37</v>
          </cell>
          <cell r="AQ163">
            <v>45819.349999999977</v>
          </cell>
          <cell r="AR163">
            <v>4197990.37</v>
          </cell>
          <cell r="AS163">
            <v>89194.349999999977</v>
          </cell>
          <cell r="AT163">
            <v>5130990.37</v>
          </cell>
          <cell r="AU163">
            <v>138519.34999999998</v>
          </cell>
          <cell r="AV163">
            <v>6090990.3700000001</v>
          </cell>
          <cell r="AW163">
            <v>182519.34999999998</v>
          </cell>
        </row>
        <row r="164">
          <cell r="B164" t="str">
            <v>SEWL ALLIANCE CONTRACT</v>
          </cell>
        </row>
        <row r="165">
          <cell r="B165" t="str">
            <v>036801</v>
          </cell>
          <cell r="C165" t="str">
            <v>COMMERCIAL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Z165">
            <v>0</v>
          </cell>
          <cell r="AA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</row>
        <row r="166">
          <cell r="B166" t="str">
            <v>036802</v>
          </cell>
          <cell r="C166" t="str">
            <v>ASSET SERVICES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R166">
            <v>0</v>
          </cell>
          <cell r="S166">
            <v>0</v>
          </cell>
          <cell r="V166">
            <v>0</v>
          </cell>
          <cell r="W166">
            <v>0</v>
          </cell>
          <cell r="Z166">
            <v>0</v>
          </cell>
          <cell r="AA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</row>
        <row r="167">
          <cell r="B167" t="str">
            <v>036803</v>
          </cell>
          <cell r="C167" t="str">
            <v>TREATMENT PLANTS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R167">
            <v>0</v>
          </cell>
          <cell r="S167">
            <v>0</v>
          </cell>
          <cell r="V167">
            <v>0</v>
          </cell>
          <cell r="W167">
            <v>0</v>
          </cell>
          <cell r="Z167">
            <v>0</v>
          </cell>
          <cell r="AA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</row>
        <row r="168">
          <cell r="B168" t="str">
            <v>036804</v>
          </cell>
          <cell r="C168" t="str">
            <v>CONSTRUCTION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R168">
            <v>0</v>
          </cell>
          <cell r="S168">
            <v>0</v>
          </cell>
          <cell r="V168">
            <v>0</v>
          </cell>
          <cell r="W168">
            <v>0</v>
          </cell>
          <cell r="Z168">
            <v>0</v>
          </cell>
          <cell r="AA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</row>
        <row r="169">
          <cell r="B169" t="str">
            <v>036805</v>
          </cell>
          <cell r="C169" t="str">
            <v>SYSTEMS ENGINEERING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R169">
            <v>0</v>
          </cell>
          <cell r="S169">
            <v>0</v>
          </cell>
          <cell r="V169">
            <v>0</v>
          </cell>
          <cell r="W169">
            <v>0</v>
          </cell>
          <cell r="Z169">
            <v>0</v>
          </cell>
          <cell r="AA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</row>
        <row r="170">
          <cell r="B170" t="str">
            <v>036806</v>
          </cell>
          <cell r="C170" t="str">
            <v>CIVIL REACTIVE WATER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R170">
            <v>0</v>
          </cell>
          <cell r="S170">
            <v>0</v>
          </cell>
          <cell r="V170">
            <v>0</v>
          </cell>
          <cell r="W170">
            <v>0</v>
          </cell>
          <cell r="Z170">
            <v>0</v>
          </cell>
          <cell r="AA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</row>
        <row r="171">
          <cell r="B171" t="str">
            <v>036807</v>
          </cell>
          <cell r="C171" t="str">
            <v>TRAFFIC MANAGEMENT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R171">
            <v>0</v>
          </cell>
          <cell r="S171">
            <v>0</v>
          </cell>
          <cell r="V171">
            <v>0</v>
          </cell>
          <cell r="W171">
            <v>0</v>
          </cell>
          <cell r="Z171">
            <v>0</v>
          </cell>
          <cell r="AA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</row>
        <row r="172">
          <cell r="B172" t="str">
            <v>036808</v>
          </cell>
          <cell r="C172" t="str">
            <v>CIVIL WASTE WATER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R172">
            <v>0</v>
          </cell>
          <cell r="S172">
            <v>0</v>
          </cell>
          <cell r="V172">
            <v>0</v>
          </cell>
          <cell r="W172">
            <v>0</v>
          </cell>
          <cell r="Z172">
            <v>0</v>
          </cell>
          <cell r="AA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</row>
        <row r="173">
          <cell r="B173" t="str">
            <v>036809</v>
          </cell>
          <cell r="C173" t="str">
            <v>PROGRAMMED WORKS WATERMAINS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R173">
            <v>0</v>
          </cell>
          <cell r="S173">
            <v>0</v>
          </cell>
          <cell r="V173">
            <v>0</v>
          </cell>
          <cell r="W173">
            <v>0</v>
          </cell>
          <cell r="Z173">
            <v>0</v>
          </cell>
          <cell r="AA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</row>
        <row r="174">
          <cell r="B174" t="str">
            <v>036810</v>
          </cell>
          <cell r="C174" t="str">
            <v>ROADWORKS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R174">
            <v>0</v>
          </cell>
          <cell r="S174">
            <v>0</v>
          </cell>
          <cell r="V174">
            <v>0</v>
          </cell>
          <cell r="W174">
            <v>0</v>
          </cell>
          <cell r="Z174">
            <v>0</v>
          </cell>
          <cell r="AA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</row>
        <row r="175">
          <cell r="B175" t="str">
            <v>036811</v>
          </cell>
          <cell r="C175" t="str">
            <v>MINOR CONSTRUCTION/GROUNDS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R175">
            <v>0</v>
          </cell>
          <cell r="S175">
            <v>0</v>
          </cell>
          <cell r="V175">
            <v>0</v>
          </cell>
          <cell r="W175">
            <v>0</v>
          </cell>
          <cell r="Z175">
            <v>0</v>
          </cell>
          <cell r="AA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</row>
        <row r="176">
          <cell r="B176" t="str">
            <v>036812</v>
          </cell>
          <cell r="C176" t="str">
            <v>EXT. CAPITAL WORKS PROGRAMS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Z176">
            <v>0</v>
          </cell>
          <cell r="AA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</row>
        <row r="177">
          <cell r="B177" t="str">
            <v>036018</v>
          </cell>
          <cell r="C177" t="str">
            <v>LOGISTICS</v>
          </cell>
          <cell r="D177">
            <v>778875</v>
          </cell>
          <cell r="E177">
            <v>471573.82</v>
          </cell>
          <cell r="F177">
            <v>0.38679533037437697</v>
          </cell>
          <cell r="G177">
            <v>45283</v>
          </cell>
          <cell r="H177">
            <v>21731.78</v>
          </cell>
          <cell r="I177">
            <v>6.1727772385740301E-2</v>
          </cell>
          <cell r="J177">
            <v>29132.81</v>
          </cell>
          <cell r="K177">
            <v>2157.9899999999998</v>
          </cell>
          <cell r="L177">
            <v>5998.2692307692305</v>
          </cell>
          <cell r="M177">
            <v>443.87192307692305</v>
          </cell>
          <cell r="N177">
            <v>4798.6153846153848</v>
          </cell>
          <cell r="O177">
            <v>355.09753846153848</v>
          </cell>
          <cell r="P177">
            <v>4798.6153846153848</v>
          </cell>
          <cell r="Q177">
            <v>355.09753846153848</v>
          </cell>
          <cell r="R177">
            <v>15595.5</v>
          </cell>
          <cell r="S177">
            <v>1154.067</v>
          </cell>
          <cell r="T177">
            <v>20595.5</v>
          </cell>
          <cell r="U177">
            <v>1441.6849999999999</v>
          </cell>
          <cell r="V177">
            <v>36191</v>
          </cell>
          <cell r="W177">
            <v>2595.752</v>
          </cell>
          <cell r="X177">
            <v>65323.81</v>
          </cell>
          <cell r="Y177">
            <v>4753.7420000000002</v>
          </cell>
          <cell r="Z177">
            <v>37060.311928994088</v>
          </cell>
          <cell r="AA177">
            <v>2742.4630827455626</v>
          </cell>
          <cell r="AB177">
            <v>37060.311928994088</v>
          </cell>
          <cell r="AC177">
            <v>2742.4630827455626</v>
          </cell>
          <cell r="AD177">
            <v>74120.623857988176</v>
          </cell>
          <cell r="AE177">
            <v>5484.9261654911252</v>
          </cell>
          <cell r="AF177" t="e">
            <v>#N/A</v>
          </cell>
          <cell r="AG177">
            <v>40999</v>
          </cell>
          <cell r="AH177" t="e">
            <v>#N/A</v>
          </cell>
          <cell r="AI177" t="e">
            <v>#N/A</v>
          </cell>
          <cell r="AJ177">
            <v>414</v>
          </cell>
          <cell r="AK177">
            <v>15084</v>
          </cell>
          <cell r="AL177">
            <v>361262.19614201185</v>
          </cell>
          <cell r="AM177">
            <v>13651.101834508874</v>
          </cell>
          <cell r="AN177">
            <v>0</v>
          </cell>
          <cell r="AO177">
            <v>0</v>
          </cell>
          <cell r="AP177">
            <v>35131.079230769232</v>
          </cell>
          <cell r="AQ177">
            <v>2601.8619230769227</v>
          </cell>
          <cell r="AR177">
            <v>39929.694615384615</v>
          </cell>
          <cell r="AS177">
            <v>2956.9594615384613</v>
          </cell>
          <cell r="AT177">
            <v>44728.31</v>
          </cell>
          <cell r="AU177">
            <v>3312.0569999999998</v>
          </cell>
          <cell r="AV177">
            <v>65323.81</v>
          </cell>
          <cell r="AW177">
            <v>4753.7420000000002</v>
          </cell>
        </row>
        <row r="178">
          <cell r="B178" t="str">
            <v>036813</v>
          </cell>
          <cell r="C178" t="str">
            <v>EXT WORKS</v>
          </cell>
          <cell r="D178">
            <v>26530015.940000001</v>
          </cell>
          <cell r="E178">
            <v>1860000</v>
          </cell>
          <cell r="F178">
            <v>0.92661745562086806</v>
          </cell>
          <cell r="G178">
            <v>2450720.04</v>
          </cell>
          <cell r="H178">
            <v>93000.000000000466</v>
          </cell>
          <cell r="I178">
            <v>0.10177706400459989</v>
          </cell>
          <cell r="J178">
            <v>4534542.88</v>
          </cell>
          <cell r="K178">
            <v>306362.73</v>
          </cell>
          <cell r="L178">
            <v>450000</v>
          </cell>
          <cell r="M178">
            <v>22500</v>
          </cell>
          <cell r="N178">
            <v>705000</v>
          </cell>
          <cell r="O178">
            <v>35250</v>
          </cell>
          <cell r="P178">
            <v>705000</v>
          </cell>
          <cell r="Q178">
            <v>35250</v>
          </cell>
          <cell r="R178">
            <v>1860000</v>
          </cell>
          <cell r="S178">
            <v>93000</v>
          </cell>
          <cell r="V178">
            <v>1860000</v>
          </cell>
          <cell r="W178">
            <v>93000</v>
          </cell>
          <cell r="X178">
            <v>6394542.8799999999</v>
          </cell>
          <cell r="Y178">
            <v>399362.73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 t="e">
            <v>#N/A</v>
          </cell>
          <cell r="AG178">
            <v>40999</v>
          </cell>
          <cell r="AH178" t="e">
            <v>#N/A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4.6566128730773926E-10</v>
          </cell>
          <cell r="AN178">
            <v>0</v>
          </cell>
          <cell r="AO178">
            <v>0</v>
          </cell>
          <cell r="AP178">
            <v>4984542.88</v>
          </cell>
          <cell r="AQ178">
            <v>328862.73</v>
          </cell>
          <cell r="AR178">
            <v>5689542.8799999999</v>
          </cell>
          <cell r="AS178">
            <v>364112.73</v>
          </cell>
          <cell r="AT178">
            <v>6394542.8799999999</v>
          </cell>
          <cell r="AU178">
            <v>399362.73</v>
          </cell>
          <cell r="AV178">
            <v>6394542.8799999999</v>
          </cell>
          <cell r="AW178">
            <v>399362.73</v>
          </cell>
        </row>
        <row r="179">
          <cell r="B179" t="str">
            <v>036850</v>
          </cell>
          <cell r="C179" t="str">
            <v>COMMERCIAL</v>
          </cell>
          <cell r="D179">
            <v>14818725</v>
          </cell>
          <cell r="E179">
            <v>12205643.109999999</v>
          </cell>
          <cell r="F179">
            <v>0.17261982370118126</v>
          </cell>
          <cell r="G179">
            <v>266387</v>
          </cell>
          <cell r="H179">
            <v>165327.13</v>
          </cell>
          <cell r="I179">
            <v>1.8305443427715878E-2</v>
          </cell>
          <cell r="J179">
            <v>1098089.74</v>
          </cell>
          <cell r="K179">
            <v>-14169.01</v>
          </cell>
          <cell r="L179">
            <v>295000</v>
          </cell>
          <cell r="M179">
            <v>8850</v>
          </cell>
          <cell r="N179">
            <v>236000</v>
          </cell>
          <cell r="O179">
            <v>7080</v>
          </cell>
          <cell r="P179">
            <v>236000</v>
          </cell>
          <cell r="Q179">
            <v>7080</v>
          </cell>
          <cell r="R179">
            <v>767000</v>
          </cell>
          <cell r="S179">
            <v>23010</v>
          </cell>
          <cell r="T179">
            <v>767000</v>
          </cell>
          <cell r="U179">
            <v>23010</v>
          </cell>
          <cell r="V179">
            <v>1534000</v>
          </cell>
          <cell r="W179">
            <v>46020</v>
          </cell>
          <cell r="X179">
            <v>2632089.7400000002</v>
          </cell>
          <cell r="Y179">
            <v>31850.989999999998</v>
          </cell>
          <cell r="Z179">
            <v>1407449.2372573966</v>
          </cell>
          <cell r="AA179">
            <v>14074.492372573966</v>
          </cell>
          <cell r="AB179">
            <v>1407449.2372573966</v>
          </cell>
          <cell r="AC179">
            <v>14074.492372573966</v>
          </cell>
          <cell r="AD179">
            <v>2814898.4745147931</v>
          </cell>
          <cell r="AE179">
            <v>28148.984745147933</v>
          </cell>
          <cell r="AF179" t="e">
            <v>#N/A</v>
          </cell>
          <cell r="AG179">
            <v>40999</v>
          </cell>
          <cell r="AH179" t="e">
            <v>#N/A</v>
          </cell>
          <cell r="AI179" t="e">
            <v>#N/A</v>
          </cell>
          <cell r="AJ179">
            <v>2762</v>
          </cell>
          <cell r="AK179">
            <v>77410</v>
          </cell>
          <cell r="AL179">
            <v>7856744.6354852058</v>
          </cell>
          <cell r="AM179">
            <v>91158.145254852076</v>
          </cell>
          <cell r="AN179">
            <v>0</v>
          </cell>
          <cell r="AO179">
            <v>0</v>
          </cell>
          <cell r="AP179">
            <v>1393089.74</v>
          </cell>
          <cell r="AQ179">
            <v>-5319.01</v>
          </cell>
          <cell r="AR179">
            <v>1629089.74</v>
          </cell>
          <cell r="AS179">
            <v>1760.9899999999998</v>
          </cell>
          <cell r="AT179">
            <v>1865089.74</v>
          </cell>
          <cell r="AU179">
            <v>8840.99</v>
          </cell>
          <cell r="AV179">
            <v>2632089.7400000002</v>
          </cell>
          <cell r="AW179">
            <v>31850.989999999998</v>
          </cell>
        </row>
        <row r="180">
          <cell r="B180" t="str">
            <v>036851</v>
          </cell>
          <cell r="C180" t="str">
            <v>ALLIANCE GM</v>
          </cell>
          <cell r="D180">
            <v>390000</v>
          </cell>
          <cell r="E180">
            <v>198490.01</v>
          </cell>
          <cell r="F180">
            <v>0.50333258586432017</v>
          </cell>
          <cell r="G180">
            <v>37700</v>
          </cell>
          <cell r="H180">
            <v>23514.080000000002</v>
          </cell>
          <cell r="I180">
            <v>0.1070110701107011</v>
          </cell>
          <cell r="J180">
            <v>14669.56</v>
          </cell>
          <cell r="K180">
            <v>1086.6300000000001</v>
          </cell>
          <cell r="L180">
            <v>3076.9230769230767</v>
          </cell>
          <cell r="M180">
            <v>227.69230769230765</v>
          </cell>
          <cell r="N180">
            <v>2461.5384615384614</v>
          </cell>
          <cell r="O180">
            <v>182.15384615384613</v>
          </cell>
          <cell r="P180">
            <v>2461.5384615384614</v>
          </cell>
          <cell r="Q180">
            <v>182.15384615384613</v>
          </cell>
          <cell r="R180">
            <v>8000</v>
          </cell>
          <cell r="S180">
            <v>591.99999999999989</v>
          </cell>
          <cell r="T180">
            <v>9000</v>
          </cell>
          <cell r="U180">
            <v>630</v>
          </cell>
          <cell r="V180">
            <v>17000</v>
          </cell>
          <cell r="W180">
            <v>1222</v>
          </cell>
          <cell r="X180">
            <v>31669.559999999998</v>
          </cell>
          <cell r="Y180">
            <v>2308.63</v>
          </cell>
          <cell r="Z180">
            <v>19047.868263313612</v>
          </cell>
          <cell r="AA180">
            <v>1409.5422514852073</v>
          </cell>
          <cell r="AB180">
            <v>19047.868263313612</v>
          </cell>
          <cell r="AC180">
            <v>1409.5422514852073</v>
          </cell>
          <cell r="AD180">
            <v>38095.736526627225</v>
          </cell>
          <cell r="AE180">
            <v>2819.0845029704146</v>
          </cell>
          <cell r="AF180" t="e">
            <v>#N/A</v>
          </cell>
          <cell r="AG180">
            <v>40999</v>
          </cell>
          <cell r="AH180" t="e">
            <v>#N/A</v>
          </cell>
          <cell r="AI180" t="e">
            <v>#N/A</v>
          </cell>
          <cell r="AJ180">
            <v>590</v>
          </cell>
          <cell r="AK180">
            <v>7752</v>
          </cell>
          <cell r="AL180">
            <v>143394.2734733728</v>
          </cell>
          <cell r="AM180">
            <v>19472.995497029588</v>
          </cell>
          <cell r="AN180">
            <v>0</v>
          </cell>
          <cell r="AO180">
            <v>0</v>
          </cell>
          <cell r="AP180">
            <v>17746.483076923076</v>
          </cell>
          <cell r="AQ180">
            <v>1314.3223076923077</v>
          </cell>
          <cell r="AR180">
            <v>20208.021538461537</v>
          </cell>
          <cell r="AS180">
            <v>1496.4761538461539</v>
          </cell>
          <cell r="AT180">
            <v>22669.559999999998</v>
          </cell>
          <cell r="AU180">
            <v>1678.63</v>
          </cell>
          <cell r="AV180">
            <v>31669.559999999998</v>
          </cell>
          <cell r="AW180">
            <v>2308.63</v>
          </cell>
        </row>
        <row r="181">
          <cell r="B181" t="str">
            <v>036852</v>
          </cell>
          <cell r="C181" t="str">
            <v>ASSET SERVICES</v>
          </cell>
          <cell r="D181">
            <v>4300000</v>
          </cell>
          <cell r="E181">
            <v>2629583.73</v>
          </cell>
          <cell r="F181">
            <v>0.38528249931890834</v>
          </cell>
          <cell r="G181">
            <v>299070</v>
          </cell>
          <cell r="H181">
            <v>170142.04</v>
          </cell>
          <cell r="I181">
            <v>7.4750120596961206E-2</v>
          </cell>
          <cell r="J181">
            <v>234424.42</v>
          </cell>
          <cell r="K181">
            <v>17364.77</v>
          </cell>
          <cell r="L181">
            <v>57692.307692307695</v>
          </cell>
          <cell r="M181">
            <v>4269.2307692307695</v>
          </cell>
          <cell r="N181">
            <v>46153.846153846156</v>
          </cell>
          <cell r="O181">
            <v>3415.3846153846152</v>
          </cell>
          <cell r="P181">
            <v>46153.846153846156</v>
          </cell>
          <cell r="Q181">
            <v>3415.3846153846152</v>
          </cell>
          <cell r="R181">
            <v>150000</v>
          </cell>
          <cell r="S181">
            <v>11100</v>
          </cell>
          <cell r="T181">
            <v>155000</v>
          </cell>
          <cell r="U181">
            <v>10850</v>
          </cell>
          <cell r="V181">
            <v>305000</v>
          </cell>
          <cell r="W181">
            <v>21950</v>
          </cell>
          <cell r="X181">
            <v>539424.42000000004</v>
          </cell>
          <cell r="Y181">
            <v>39314.770000000004</v>
          </cell>
          <cell r="Z181">
            <v>308272.09870118345</v>
          </cell>
          <cell r="AA181">
            <v>22812.135303887575</v>
          </cell>
          <cell r="AB181">
            <v>308272.09870118345</v>
          </cell>
          <cell r="AC181">
            <v>22812.135303887575</v>
          </cell>
          <cell r="AD181">
            <v>616544.1974023669</v>
          </cell>
          <cell r="AE181">
            <v>45624.27060777515</v>
          </cell>
          <cell r="AF181" t="e">
            <v>#N/A</v>
          </cell>
          <cell r="AG181">
            <v>40999</v>
          </cell>
          <cell r="AH181" t="e">
            <v>#N/A</v>
          </cell>
          <cell r="AI181" t="e">
            <v>#N/A</v>
          </cell>
          <cell r="AJ181">
            <v>3108</v>
          </cell>
          <cell r="AK181">
            <v>125467</v>
          </cell>
          <cell r="AL181">
            <v>1708039.5325976331</v>
          </cell>
          <cell r="AM181">
            <v>102567.76939222486</v>
          </cell>
          <cell r="AN181">
            <v>0</v>
          </cell>
          <cell r="AO181">
            <v>0</v>
          </cell>
          <cell r="AP181">
            <v>292116.72769230773</v>
          </cell>
          <cell r="AQ181">
            <v>21634.00076923077</v>
          </cell>
          <cell r="AR181">
            <v>338270.57384615391</v>
          </cell>
          <cell r="AS181">
            <v>25049.385384615387</v>
          </cell>
          <cell r="AT181">
            <v>384424.42000000004</v>
          </cell>
          <cell r="AU181">
            <v>28464.770000000004</v>
          </cell>
          <cell r="AV181">
            <v>539424.42000000004</v>
          </cell>
          <cell r="AW181">
            <v>39314.770000000004</v>
          </cell>
        </row>
        <row r="182">
          <cell r="B182" t="str">
            <v>036853</v>
          </cell>
          <cell r="C182" t="str">
            <v>SYSTEMS ENGINEERING</v>
          </cell>
          <cell r="D182">
            <v>1900000</v>
          </cell>
          <cell r="E182">
            <v>1227351.48</v>
          </cell>
          <cell r="F182">
            <v>0.35692606896551721</v>
          </cell>
          <cell r="G182">
            <v>160000</v>
          </cell>
          <cell r="H182">
            <v>108402.84</v>
          </cell>
          <cell r="I182">
            <v>9.1954022988505746E-2</v>
          </cell>
          <cell r="J182">
            <v>90819.95</v>
          </cell>
          <cell r="K182">
            <v>6727.3999999999942</v>
          </cell>
          <cell r="L182">
            <v>23076.923076923078</v>
          </cell>
          <cell r="M182">
            <v>1707.6923076923076</v>
          </cell>
          <cell r="N182">
            <v>18461.538461538461</v>
          </cell>
          <cell r="O182">
            <v>1366.153846153846</v>
          </cell>
          <cell r="P182">
            <v>18461.538461538461</v>
          </cell>
          <cell r="Q182">
            <v>1366.153846153846</v>
          </cell>
          <cell r="R182">
            <v>60000</v>
          </cell>
          <cell r="S182">
            <v>4440</v>
          </cell>
          <cell r="T182">
            <v>70000</v>
          </cell>
          <cell r="U182">
            <v>4900</v>
          </cell>
          <cell r="V182">
            <v>130000</v>
          </cell>
          <cell r="W182">
            <v>9340</v>
          </cell>
          <cell r="X182">
            <v>220819.95</v>
          </cell>
          <cell r="Y182">
            <v>16067.399999999994</v>
          </cell>
          <cell r="Z182">
            <v>136105.43217159764</v>
          </cell>
          <cell r="AA182">
            <v>10071.801980698225</v>
          </cell>
          <cell r="AB182">
            <v>136105.43217159764</v>
          </cell>
          <cell r="AC182">
            <v>10071.801980698225</v>
          </cell>
          <cell r="AD182">
            <v>272210.86434319528</v>
          </cell>
          <cell r="AE182">
            <v>20143.603961396449</v>
          </cell>
          <cell r="AF182" t="e">
            <v>#N/A</v>
          </cell>
          <cell r="AG182">
            <v>40999</v>
          </cell>
          <cell r="AH182" t="e">
            <v>#N/A</v>
          </cell>
          <cell r="AI182" t="e">
            <v>#N/A</v>
          </cell>
          <cell r="AJ182">
            <v>2391</v>
          </cell>
          <cell r="AK182">
            <v>55395</v>
          </cell>
          <cell r="AL182">
            <v>825140.61565680476</v>
          </cell>
          <cell r="AM182">
            <v>78919.236038603543</v>
          </cell>
          <cell r="AN182">
            <v>0</v>
          </cell>
          <cell r="AO182">
            <v>0</v>
          </cell>
          <cell r="AP182">
            <v>113896.87307692308</v>
          </cell>
          <cell r="AQ182">
            <v>8435.0923076923027</v>
          </cell>
          <cell r="AR182">
            <v>132358.41153846154</v>
          </cell>
          <cell r="AS182">
            <v>9801.2461538461484</v>
          </cell>
          <cell r="AT182">
            <v>150819.95000000001</v>
          </cell>
          <cell r="AU182">
            <v>11167.399999999994</v>
          </cell>
          <cell r="AV182">
            <v>220819.95</v>
          </cell>
          <cell r="AW182">
            <v>16067.399999999994</v>
          </cell>
        </row>
        <row r="183">
          <cell r="B183" t="str">
            <v>036860</v>
          </cell>
          <cell r="C183" t="str">
            <v>WATER O &amp; M</v>
          </cell>
          <cell r="D183">
            <v>93194619.797499999</v>
          </cell>
          <cell r="E183">
            <v>56758198.083999999</v>
          </cell>
          <cell r="F183">
            <v>0.38893088379535268</v>
          </cell>
          <cell r="G183">
            <v>7195599.6859999998</v>
          </cell>
          <cell r="H183">
            <v>4206852.87</v>
          </cell>
          <cell r="I183">
            <v>8.3670717139226886E-2</v>
          </cell>
          <cell r="J183">
            <v>5589281.8700000001</v>
          </cell>
          <cell r="K183">
            <v>429226.95</v>
          </cell>
          <cell r="L183">
            <v>1302846.15384615</v>
          </cell>
          <cell r="M183">
            <v>234384.6153846154</v>
          </cell>
          <cell r="N183">
            <v>923076.92307692312</v>
          </cell>
          <cell r="O183">
            <v>68307.692307692312</v>
          </cell>
          <cell r="P183">
            <v>923076.92307692312</v>
          </cell>
          <cell r="Q183">
            <v>68307.692307692312</v>
          </cell>
          <cell r="R183">
            <v>3148999.9999999963</v>
          </cell>
          <cell r="S183">
            <v>371000</v>
          </cell>
          <cell r="T183">
            <v>3500000</v>
          </cell>
          <cell r="U183">
            <v>245000</v>
          </cell>
          <cell r="V183">
            <v>6648999.9999999963</v>
          </cell>
          <cell r="W183">
            <v>616000</v>
          </cell>
          <cell r="X183">
            <v>12238281.869999997</v>
          </cell>
          <cell r="Y183">
            <v>1045226.95</v>
          </cell>
          <cell r="Z183">
            <v>6638188.584825445</v>
          </cell>
          <cell r="AA183">
            <v>491225.95527708292</v>
          </cell>
          <cell r="AB183">
            <v>6638188.584825445</v>
          </cell>
          <cell r="AC183">
            <v>491225.95527708292</v>
          </cell>
          <cell r="AD183">
            <v>13276377.16965089</v>
          </cell>
          <cell r="AE183">
            <v>982451.91055416584</v>
          </cell>
          <cell r="AF183" t="e">
            <v>#N/A</v>
          </cell>
          <cell r="AG183">
            <v>40999</v>
          </cell>
          <cell r="AH183" t="e">
            <v>#N/A</v>
          </cell>
          <cell r="AI183" t="e">
            <v>#N/A</v>
          </cell>
          <cell r="AJ183">
            <v>79042</v>
          </cell>
          <cell r="AK183">
            <v>2701743</v>
          </cell>
          <cell r="AL183">
            <v>36832820.914349116</v>
          </cell>
          <cell r="AM183">
            <v>2608400.9594458342</v>
          </cell>
          <cell r="AN183">
            <v>0</v>
          </cell>
          <cell r="AO183">
            <v>0</v>
          </cell>
          <cell r="AP183">
            <v>6892128.0238461504</v>
          </cell>
          <cell r="AQ183">
            <v>663611.56538461545</v>
          </cell>
          <cell r="AR183">
            <v>7815204.9469230734</v>
          </cell>
          <cell r="AS183">
            <v>731919.2576923077</v>
          </cell>
          <cell r="AT183">
            <v>8738281.8699999973</v>
          </cell>
          <cell r="AU183">
            <v>800226.95</v>
          </cell>
          <cell r="AV183">
            <v>12238281.869999997</v>
          </cell>
          <cell r="AW183">
            <v>1045226.95</v>
          </cell>
        </row>
        <row r="184">
          <cell r="B184" t="str">
            <v>036861</v>
          </cell>
          <cell r="C184" t="str">
            <v>WATER CHARGEABLE</v>
          </cell>
          <cell r="D184">
            <v>10947085.252499999</v>
          </cell>
          <cell r="E184">
            <v>7476387.845999999</v>
          </cell>
          <cell r="F184">
            <v>0.31040132689580907</v>
          </cell>
          <cell r="G184">
            <v>996084.1939999999</v>
          </cell>
          <cell r="H184">
            <v>614190.72</v>
          </cell>
          <cell r="I184">
            <v>0.10009889338210444</v>
          </cell>
          <cell r="J184">
            <v>843438.95</v>
          </cell>
          <cell r="K184">
            <v>93715.439999999944</v>
          </cell>
          <cell r="L184">
            <v>153846.15384615384</v>
          </cell>
          <cell r="M184">
            <v>17092.307692307691</v>
          </cell>
          <cell r="N184">
            <v>123076.92307692308</v>
          </cell>
          <cell r="O184">
            <v>13673.846153846154</v>
          </cell>
          <cell r="P184">
            <v>123076.92307692308</v>
          </cell>
          <cell r="Q184">
            <v>13673.846153846154</v>
          </cell>
          <cell r="R184">
            <v>400000</v>
          </cell>
          <cell r="S184">
            <v>44440</v>
          </cell>
          <cell r="T184">
            <v>400000</v>
          </cell>
          <cell r="U184">
            <v>44440</v>
          </cell>
          <cell r="V184">
            <v>800000</v>
          </cell>
          <cell r="W184">
            <v>88880</v>
          </cell>
          <cell r="X184">
            <v>1643438.95</v>
          </cell>
          <cell r="Y184">
            <v>182595.43999999994</v>
          </cell>
          <cell r="Z184">
            <v>899859.2471390533</v>
          </cell>
          <cell r="AA184">
            <v>99974.362357148828</v>
          </cell>
          <cell r="AB184">
            <v>899859.2471390533</v>
          </cell>
          <cell r="AC184">
            <v>99974.362357148828</v>
          </cell>
          <cell r="AD184">
            <v>1799718.4942781066</v>
          </cell>
          <cell r="AE184">
            <v>199948.72471429766</v>
          </cell>
          <cell r="AF184" t="e">
            <v>#N/A</v>
          </cell>
          <cell r="AG184">
            <v>40999</v>
          </cell>
          <cell r="AH184" t="e">
            <v>#N/A</v>
          </cell>
          <cell r="AI184" t="e">
            <v>#N/A</v>
          </cell>
          <cell r="AJ184">
            <v>9859</v>
          </cell>
          <cell r="AK184">
            <v>549859</v>
          </cell>
          <cell r="AL184">
            <v>4876669.3517218921</v>
          </cell>
          <cell r="AM184">
            <v>325361.99528570229</v>
          </cell>
          <cell r="AN184">
            <v>0</v>
          </cell>
          <cell r="AO184">
            <v>0</v>
          </cell>
          <cell r="AP184">
            <v>997285.10384615383</v>
          </cell>
          <cell r="AQ184">
            <v>110807.74769230763</v>
          </cell>
          <cell r="AR184">
            <v>1120362.0269230769</v>
          </cell>
          <cell r="AS184">
            <v>124481.59384615379</v>
          </cell>
          <cell r="AT184">
            <v>1243438.95</v>
          </cell>
          <cell r="AU184">
            <v>138155.43999999994</v>
          </cell>
          <cell r="AV184">
            <v>1643438.95</v>
          </cell>
          <cell r="AW184">
            <v>182595.43999999994</v>
          </cell>
        </row>
        <row r="185">
          <cell r="B185" t="str">
            <v>036862</v>
          </cell>
          <cell r="C185" t="str">
            <v>WASTEWATER O &amp; M</v>
          </cell>
          <cell r="D185">
            <v>58174546.336000003</v>
          </cell>
          <cell r="E185">
            <v>38028628.324000001</v>
          </cell>
          <cell r="F185">
            <v>0.34567840476431128</v>
          </cell>
          <cell r="G185">
            <v>4360344.8104999997</v>
          </cell>
          <cell r="H185">
            <v>2816834.1355000008</v>
          </cell>
          <cell r="I185">
            <v>8.1025912991273111E-2</v>
          </cell>
          <cell r="J185">
            <v>4014599.86</v>
          </cell>
          <cell r="K185">
            <v>297377.78000000003</v>
          </cell>
          <cell r="L185">
            <v>769230.76923076925</v>
          </cell>
          <cell r="M185">
            <v>56923.076923076922</v>
          </cell>
          <cell r="N185">
            <v>615384.61538461538</v>
          </cell>
          <cell r="O185">
            <v>45538.461538461539</v>
          </cell>
          <cell r="P185">
            <v>615384.61538461538</v>
          </cell>
          <cell r="Q185">
            <v>45538.461538461539</v>
          </cell>
          <cell r="R185">
            <v>2000000</v>
          </cell>
          <cell r="S185">
            <v>148000</v>
          </cell>
          <cell r="T185">
            <v>2200000</v>
          </cell>
          <cell r="U185">
            <v>154000</v>
          </cell>
          <cell r="V185">
            <v>4200000</v>
          </cell>
          <cell r="W185">
            <v>302000</v>
          </cell>
          <cell r="X185">
            <v>8214599.8599999994</v>
          </cell>
          <cell r="Y185">
            <v>599377.78</v>
          </cell>
          <cell r="Z185">
            <v>4540726.246073965</v>
          </cell>
          <cell r="AA185">
            <v>336013.74220947339</v>
          </cell>
          <cell r="AB185">
            <v>4540726.246073965</v>
          </cell>
          <cell r="AC185">
            <v>336013.74220947339</v>
          </cell>
          <cell r="AD185">
            <v>9081452.49214793</v>
          </cell>
          <cell r="AE185">
            <v>672027.48441894678</v>
          </cell>
          <cell r="AF185" t="e">
            <v>#N/A</v>
          </cell>
          <cell r="AG185">
            <v>40999</v>
          </cell>
          <cell r="AH185" t="e">
            <v>#N/A</v>
          </cell>
          <cell r="AI185" t="e">
            <v>#N/A</v>
          </cell>
          <cell r="AJ185">
            <v>55843</v>
          </cell>
          <cell r="AK185">
            <v>1848076</v>
          </cell>
          <cell r="AL185">
            <v>24747175.831852071</v>
          </cell>
          <cell r="AM185">
            <v>1842806.651081054</v>
          </cell>
          <cell r="AN185">
            <v>0</v>
          </cell>
          <cell r="AO185">
            <v>0</v>
          </cell>
          <cell r="AP185">
            <v>4783830.6292307694</v>
          </cell>
          <cell r="AQ185">
            <v>354300.85692307696</v>
          </cell>
          <cell r="AR185">
            <v>5399215.2446153844</v>
          </cell>
          <cell r="AS185">
            <v>399839.31846153853</v>
          </cell>
          <cell r="AT185">
            <v>6014599.8599999994</v>
          </cell>
          <cell r="AU185">
            <v>445377.78000000009</v>
          </cell>
          <cell r="AV185">
            <v>8214599.8599999994</v>
          </cell>
          <cell r="AW185">
            <v>599377.78</v>
          </cell>
        </row>
        <row r="186">
          <cell r="B186" t="str">
            <v>036863</v>
          </cell>
          <cell r="C186" t="str">
            <v>WASTEWATER CHARGEABLE</v>
          </cell>
          <cell r="D186">
            <v>1922344.544</v>
          </cell>
          <cell r="E186">
            <v>1125200.926</v>
          </cell>
          <cell r="F186">
            <v>0.4241418557167006</v>
          </cell>
          <cell r="G186">
            <v>231070.7795</v>
          </cell>
          <cell r="H186">
            <v>151267.15450000006</v>
          </cell>
          <cell r="I186">
            <v>0.13662529647783703</v>
          </cell>
          <cell r="J186">
            <v>136450.66</v>
          </cell>
          <cell r="K186">
            <v>15161.19</v>
          </cell>
          <cell r="L186">
            <v>23076.923076923078</v>
          </cell>
          <cell r="M186">
            <v>2563.8461538461543</v>
          </cell>
          <cell r="N186">
            <v>18461.538461538461</v>
          </cell>
          <cell r="O186">
            <v>2051.0769230769229</v>
          </cell>
          <cell r="P186">
            <v>18461.538461538461</v>
          </cell>
          <cell r="Q186">
            <v>2051.0769230769229</v>
          </cell>
          <cell r="R186">
            <v>60000</v>
          </cell>
          <cell r="S186">
            <v>6666</v>
          </cell>
          <cell r="T186">
            <v>80000</v>
          </cell>
          <cell r="U186">
            <v>8888</v>
          </cell>
          <cell r="V186">
            <v>140000</v>
          </cell>
          <cell r="W186">
            <v>15554</v>
          </cell>
          <cell r="X186">
            <v>276450.66000000003</v>
          </cell>
          <cell r="Y186">
            <v>30715.190000000002</v>
          </cell>
          <cell r="Z186">
            <v>139760.20635207102</v>
          </cell>
          <cell r="AA186">
            <v>15527.358925715091</v>
          </cell>
          <cell r="AB186">
            <v>139760.20635207102</v>
          </cell>
          <cell r="AC186">
            <v>15527.358925715091</v>
          </cell>
          <cell r="AD186">
            <v>279520.41270414204</v>
          </cell>
          <cell r="AE186">
            <v>31054.717851430181</v>
          </cell>
          <cell r="AF186" t="e">
            <v>#N/A</v>
          </cell>
          <cell r="AG186">
            <v>40999</v>
          </cell>
          <cell r="AH186" t="e">
            <v>#N/A</v>
          </cell>
          <cell r="AI186" t="e">
            <v>#N/A</v>
          </cell>
          <cell r="AJ186">
            <v>3171</v>
          </cell>
          <cell r="AK186">
            <v>85400</v>
          </cell>
          <cell r="AL186">
            <v>705680.51329585793</v>
          </cell>
          <cell r="AM186">
            <v>104658.43664856988</v>
          </cell>
          <cell r="AN186">
            <v>0</v>
          </cell>
          <cell r="AO186">
            <v>0</v>
          </cell>
          <cell r="AP186">
            <v>159527.5830769231</v>
          </cell>
          <cell r="AQ186">
            <v>17725.036153846155</v>
          </cell>
          <cell r="AR186">
            <v>177989.12153846156</v>
          </cell>
          <cell r="AS186">
            <v>19776.113076923077</v>
          </cell>
          <cell r="AT186">
            <v>196450.66000000003</v>
          </cell>
          <cell r="AU186">
            <v>21827.19</v>
          </cell>
          <cell r="AV186">
            <v>276450.66000000003</v>
          </cell>
          <cell r="AW186">
            <v>30715.190000000002</v>
          </cell>
        </row>
        <row r="187">
          <cell r="B187" t="str">
            <v>036864</v>
          </cell>
          <cell r="C187" t="str">
            <v>TREATMENT PLANTS O &amp; M</v>
          </cell>
          <cell r="D187">
            <v>5397244</v>
          </cell>
          <cell r="E187">
            <v>2771571.5</v>
          </cell>
          <cell r="F187">
            <v>0.48505646725548746</v>
          </cell>
          <cell r="G187">
            <v>409309</v>
          </cell>
          <cell r="H187">
            <v>203066.63</v>
          </cell>
          <cell r="I187">
            <v>8.2059810322307733E-2</v>
          </cell>
          <cell r="J187">
            <v>215145.68</v>
          </cell>
          <cell r="K187">
            <v>15936.73</v>
          </cell>
          <cell r="L187">
            <v>71153.846153846156</v>
          </cell>
          <cell r="M187">
            <v>5265.3846153846152</v>
          </cell>
          <cell r="N187">
            <v>56923.076923076922</v>
          </cell>
          <cell r="O187">
            <v>4212.3076923076924</v>
          </cell>
          <cell r="P187">
            <v>56923.076923076922</v>
          </cell>
          <cell r="Q187">
            <v>4212.3076923076924</v>
          </cell>
          <cell r="R187">
            <v>185000</v>
          </cell>
          <cell r="S187">
            <v>13690</v>
          </cell>
          <cell r="T187">
            <v>195000</v>
          </cell>
          <cell r="U187">
            <v>13650</v>
          </cell>
          <cell r="V187">
            <v>380000</v>
          </cell>
          <cell r="W187">
            <v>27340</v>
          </cell>
          <cell r="X187">
            <v>595145.67999999993</v>
          </cell>
          <cell r="Y187">
            <v>43276.729999999996</v>
          </cell>
          <cell r="Z187">
            <v>340577.31696153845</v>
          </cell>
          <cell r="AA187">
            <v>25202.721455153845</v>
          </cell>
          <cell r="AB187">
            <v>340577.31696153845</v>
          </cell>
          <cell r="AC187">
            <v>25202.721455153845</v>
          </cell>
          <cell r="AD187">
            <v>681154.63392307691</v>
          </cell>
          <cell r="AE187">
            <v>50405.442910307691</v>
          </cell>
          <cell r="AF187" t="e">
            <v>#N/A</v>
          </cell>
          <cell r="AG187">
            <v>40999</v>
          </cell>
          <cell r="AH187" t="e">
            <v>#N/A</v>
          </cell>
          <cell r="AI187" t="e">
            <v>#N/A</v>
          </cell>
          <cell r="AJ187">
            <v>3798</v>
          </cell>
          <cell r="AK187">
            <v>138615</v>
          </cell>
          <cell r="AL187">
            <v>1710416.866076923</v>
          </cell>
          <cell r="AM187">
            <v>125321.18708969231</v>
          </cell>
          <cell r="AN187">
            <v>0</v>
          </cell>
          <cell r="AO187">
            <v>0</v>
          </cell>
          <cell r="AP187">
            <v>286299.52615384618</v>
          </cell>
          <cell r="AQ187">
            <v>21202.114615384613</v>
          </cell>
          <cell r="AR187">
            <v>343222.60307692311</v>
          </cell>
          <cell r="AS187">
            <v>25414.422307692304</v>
          </cell>
          <cell r="AT187">
            <v>400145.68000000005</v>
          </cell>
          <cell r="AU187">
            <v>29626.729999999996</v>
          </cell>
          <cell r="AV187">
            <v>595145.67999999993</v>
          </cell>
          <cell r="AW187">
            <v>43276.729999999996</v>
          </cell>
        </row>
        <row r="188">
          <cell r="B188" t="str">
            <v>036865</v>
          </cell>
          <cell r="C188" t="str">
            <v>DESIGN &amp; CONSTRUCT</v>
          </cell>
          <cell r="D188">
            <v>102500000</v>
          </cell>
          <cell r="E188">
            <v>71663866.900000006</v>
          </cell>
          <cell r="F188">
            <v>0.29657111891610211</v>
          </cell>
          <cell r="G188">
            <v>6550000</v>
          </cell>
          <cell r="H188">
            <v>4169865.76</v>
          </cell>
          <cell r="I188">
            <v>6.8264721208963E-2</v>
          </cell>
          <cell r="J188">
            <v>9827916.7899999991</v>
          </cell>
          <cell r="K188">
            <v>729493.38999999873</v>
          </cell>
          <cell r="L188">
            <v>1346153.8461538462</v>
          </cell>
          <cell r="M188">
            <v>99615.384615384624</v>
          </cell>
          <cell r="N188">
            <v>1076923.076923077</v>
          </cell>
          <cell r="O188">
            <v>79692.307692307688</v>
          </cell>
          <cell r="P188">
            <v>1076923.076923077</v>
          </cell>
          <cell r="Q188">
            <v>79692.307692307688</v>
          </cell>
          <cell r="R188">
            <v>3500000</v>
          </cell>
          <cell r="S188">
            <v>259000</v>
          </cell>
          <cell r="T188">
            <v>4000000</v>
          </cell>
          <cell r="U188">
            <v>240000</v>
          </cell>
          <cell r="V188">
            <v>7500000</v>
          </cell>
          <cell r="W188">
            <v>499000</v>
          </cell>
          <cell r="X188">
            <v>17327916.789999999</v>
          </cell>
          <cell r="Y188">
            <v>1228493.3899999987</v>
          </cell>
          <cell r="Z188">
            <v>8615668.9344923086</v>
          </cell>
          <cell r="AA188">
            <v>508324.4671350462</v>
          </cell>
          <cell r="AB188">
            <v>8615668.9344923086</v>
          </cell>
          <cell r="AC188">
            <v>508324.4671350462</v>
          </cell>
          <cell r="AD188">
            <v>17231337.868984617</v>
          </cell>
          <cell r="AE188">
            <v>1016648.9342700924</v>
          </cell>
          <cell r="AF188" t="e">
            <v>#N/A</v>
          </cell>
          <cell r="AG188">
            <v>40999</v>
          </cell>
          <cell r="AH188" t="e">
            <v>#N/A</v>
          </cell>
          <cell r="AI188" t="e">
            <v>#N/A</v>
          </cell>
          <cell r="AJ188">
            <v>80431</v>
          </cell>
          <cell r="AK188">
            <v>2795785</v>
          </cell>
          <cell r="AL188">
            <v>46932529.031015389</v>
          </cell>
          <cell r="AM188">
            <v>2654216.8257299075</v>
          </cell>
          <cell r="AN188">
            <v>0</v>
          </cell>
          <cell r="AO188">
            <v>0</v>
          </cell>
          <cell r="AP188">
            <v>11174070.636153845</v>
          </cell>
          <cell r="AQ188">
            <v>829108.77461538336</v>
          </cell>
          <cell r="AR188">
            <v>12250993.713076923</v>
          </cell>
          <cell r="AS188">
            <v>908801.08230769099</v>
          </cell>
          <cell r="AT188">
            <v>13327916.789999999</v>
          </cell>
          <cell r="AU188">
            <v>988493.38999999873</v>
          </cell>
          <cell r="AV188">
            <v>17327916.789999999</v>
          </cell>
          <cell r="AW188">
            <v>1228493.3899999987</v>
          </cell>
        </row>
        <row r="189">
          <cell r="B189" t="str">
            <v>036866</v>
          </cell>
          <cell r="C189" t="str">
            <v>SEWL SUNDRY WORKS</v>
          </cell>
          <cell r="D189">
            <v>7100000</v>
          </cell>
          <cell r="E189">
            <v>5839817.2300000004</v>
          </cell>
          <cell r="F189">
            <v>0.17733068389057743</v>
          </cell>
          <cell r="G189">
            <v>520000</v>
          </cell>
          <cell r="H189">
            <v>426653.13</v>
          </cell>
          <cell r="I189">
            <v>7.9027355623100301E-2</v>
          </cell>
          <cell r="J189">
            <v>638944.28</v>
          </cell>
          <cell r="K189">
            <v>47329.210000000079</v>
          </cell>
          <cell r="L189">
            <v>123076.92307692309</v>
          </cell>
          <cell r="M189">
            <v>9107.6923076923085</v>
          </cell>
          <cell r="N189">
            <v>98461.538461538468</v>
          </cell>
          <cell r="O189">
            <v>7286.1538461538466</v>
          </cell>
          <cell r="P189">
            <v>98461.538461538468</v>
          </cell>
          <cell r="Q189">
            <v>7286.1538461538466</v>
          </cell>
          <cell r="R189">
            <v>320000</v>
          </cell>
          <cell r="S189">
            <v>23680</v>
          </cell>
          <cell r="T189">
            <v>350000</v>
          </cell>
          <cell r="U189">
            <v>24500</v>
          </cell>
          <cell r="V189">
            <v>670000</v>
          </cell>
          <cell r="W189">
            <v>48180</v>
          </cell>
          <cell r="X189">
            <v>1308944.28</v>
          </cell>
          <cell r="Y189">
            <v>95509.210000000079</v>
          </cell>
          <cell r="Z189">
            <v>719869.45773964503</v>
          </cell>
          <cell r="AA189">
            <v>53270.339872733726</v>
          </cell>
          <cell r="AB189">
            <v>719869.45773964503</v>
          </cell>
          <cell r="AC189">
            <v>53270.339872733726</v>
          </cell>
          <cell r="AD189">
            <v>1439738.9154792901</v>
          </cell>
          <cell r="AE189">
            <v>106540.67974546745</v>
          </cell>
          <cell r="AF189" t="e">
            <v>#N/A</v>
          </cell>
          <cell r="AG189">
            <v>40999</v>
          </cell>
          <cell r="AH189" t="e">
            <v>#N/A</v>
          </cell>
          <cell r="AI189" t="e">
            <v>#N/A</v>
          </cell>
          <cell r="AJ189">
            <v>8240</v>
          </cell>
          <cell r="AK189">
            <v>292987</v>
          </cell>
          <cell r="AL189">
            <v>3730078.3145207101</v>
          </cell>
          <cell r="AM189">
            <v>271932.45025453257</v>
          </cell>
          <cell r="AN189">
            <v>0</v>
          </cell>
          <cell r="AO189">
            <v>0</v>
          </cell>
          <cell r="AP189">
            <v>762021.20307692315</v>
          </cell>
          <cell r="AQ189">
            <v>56436.902307692391</v>
          </cell>
          <cell r="AR189">
            <v>860482.74153846165</v>
          </cell>
          <cell r="AS189">
            <v>63723.056153846235</v>
          </cell>
          <cell r="AT189">
            <v>958944.28000000014</v>
          </cell>
          <cell r="AU189">
            <v>71009.210000000079</v>
          </cell>
          <cell r="AV189">
            <v>1308944.28</v>
          </cell>
          <cell r="AW189">
            <v>95509.210000000079</v>
          </cell>
        </row>
        <row r="190">
          <cell r="B190" t="str">
            <v>036867</v>
          </cell>
          <cell r="C190" t="str">
            <v>ASSET SERVICES ADMINISTRATION</v>
          </cell>
          <cell r="D190">
            <v>850000</v>
          </cell>
          <cell r="E190">
            <v>747818.59</v>
          </cell>
          <cell r="F190">
            <v>0.12129797435897439</v>
          </cell>
          <cell r="G190">
            <v>70000</v>
          </cell>
          <cell r="H190">
            <v>62431.01</v>
          </cell>
          <cell r="I190">
            <v>8.9743589743589744E-2</v>
          </cell>
          <cell r="J190">
            <v>102181.41</v>
          </cell>
          <cell r="K190">
            <v>7568.99</v>
          </cell>
          <cell r="L190">
            <v>15384.615384615387</v>
          </cell>
          <cell r="M190">
            <v>1138.4615384615386</v>
          </cell>
          <cell r="N190">
            <v>12307.692307692309</v>
          </cell>
          <cell r="O190">
            <v>910.76923076923083</v>
          </cell>
          <cell r="P190">
            <v>12307.692307692309</v>
          </cell>
          <cell r="Q190">
            <v>910.76923076923083</v>
          </cell>
          <cell r="R190">
            <v>40000</v>
          </cell>
          <cell r="S190">
            <v>2960</v>
          </cell>
          <cell r="T190">
            <v>40000</v>
          </cell>
          <cell r="U190">
            <v>2800</v>
          </cell>
          <cell r="V190">
            <v>80000</v>
          </cell>
          <cell r="W190">
            <v>5760</v>
          </cell>
          <cell r="X190">
            <v>182181.41</v>
          </cell>
          <cell r="Y190">
            <v>13328.99</v>
          </cell>
          <cell r="Z190">
            <v>90554.689988165672</v>
          </cell>
          <cell r="AA190">
            <v>6701.0470591242592</v>
          </cell>
          <cell r="AB190">
            <v>90554.689988165672</v>
          </cell>
          <cell r="AC190">
            <v>6701.0470591242592</v>
          </cell>
          <cell r="AD190">
            <v>181109.37997633134</v>
          </cell>
          <cell r="AE190">
            <v>13402.094118248518</v>
          </cell>
          <cell r="AF190" t="e">
            <v>#N/A</v>
          </cell>
          <cell r="AG190">
            <v>40999</v>
          </cell>
          <cell r="AH190" t="e">
            <v>#N/A</v>
          </cell>
          <cell r="AI190" t="e">
            <v>#N/A</v>
          </cell>
          <cell r="AJ190">
            <v>1311</v>
          </cell>
          <cell r="AK190">
            <v>36856</v>
          </cell>
          <cell r="AL190">
            <v>486709.21002366859</v>
          </cell>
          <cell r="AM190">
            <v>43268.915881751484</v>
          </cell>
          <cell r="AN190">
            <v>0</v>
          </cell>
          <cell r="AO190">
            <v>0</v>
          </cell>
          <cell r="AP190">
            <v>117566.02538461539</v>
          </cell>
          <cell r="AQ190">
            <v>8707.4515384615388</v>
          </cell>
          <cell r="AR190">
            <v>129873.71769230771</v>
          </cell>
          <cell r="AS190">
            <v>9618.2207692307693</v>
          </cell>
          <cell r="AT190">
            <v>142181.41</v>
          </cell>
          <cell r="AU190">
            <v>10528.99</v>
          </cell>
          <cell r="AV190">
            <v>182181.41</v>
          </cell>
          <cell r="AW190">
            <v>13328.99</v>
          </cell>
        </row>
        <row r="191">
          <cell r="B191" t="str">
            <v>036868</v>
          </cell>
          <cell r="C191" t="str">
            <v>WATER O &amp; M ADMINISTRATION</v>
          </cell>
          <cell r="D191">
            <v>7000000</v>
          </cell>
          <cell r="E191">
            <v>6401398.2199999997</v>
          </cell>
          <cell r="F191">
            <v>0.10777107851851855</v>
          </cell>
          <cell r="G191">
            <v>250000</v>
          </cell>
          <cell r="H191">
            <v>378853</v>
          </cell>
          <cell r="I191">
            <v>3.7037037037037035E-2</v>
          </cell>
          <cell r="J191">
            <v>598601.78</v>
          </cell>
          <cell r="K191">
            <v>-128853</v>
          </cell>
          <cell r="L191">
            <v>128846.15384615384</v>
          </cell>
          <cell r="M191">
            <v>9534.6153846153848</v>
          </cell>
          <cell r="N191">
            <v>103076.92307692308</v>
          </cell>
          <cell r="O191">
            <v>7627.6923076923076</v>
          </cell>
          <cell r="P191">
            <v>103076.92307692308</v>
          </cell>
          <cell r="Q191">
            <v>7627.6923076923076</v>
          </cell>
          <cell r="R191">
            <v>335000</v>
          </cell>
          <cell r="S191">
            <v>24790</v>
          </cell>
          <cell r="T191">
            <v>335000</v>
          </cell>
          <cell r="U191">
            <v>23450</v>
          </cell>
          <cell r="V191">
            <v>670000</v>
          </cell>
          <cell r="W191">
            <v>48240</v>
          </cell>
          <cell r="X191">
            <v>1268601.78</v>
          </cell>
          <cell r="Y191">
            <v>-80613</v>
          </cell>
          <cell r="Z191">
            <v>737255.10122781084</v>
          </cell>
          <cell r="AA191">
            <v>54556.877490858002</v>
          </cell>
          <cell r="AB191">
            <v>737255.10122781084</v>
          </cell>
          <cell r="AC191">
            <v>54556.877490858002</v>
          </cell>
          <cell r="AD191">
            <v>1474510.2024556217</v>
          </cell>
          <cell r="AE191">
            <v>109113.754981716</v>
          </cell>
          <cell r="AF191" t="e">
            <v>#N/A</v>
          </cell>
          <cell r="AG191">
            <v>40999</v>
          </cell>
          <cell r="AH191" t="e">
            <v>#N/A</v>
          </cell>
          <cell r="AI191" t="e">
            <v>#N/A</v>
          </cell>
          <cell r="AJ191">
            <v>6712</v>
          </cell>
          <cell r="AK191">
            <v>300063</v>
          </cell>
          <cell r="AL191">
            <v>4256888.0175443776</v>
          </cell>
          <cell r="AM191">
            <v>221499.24501828401</v>
          </cell>
          <cell r="AN191">
            <v>0</v>
          </cell>
          <cell r="AO191">
            <v>0</v>
          </cell>
          <cell r="AP191">
            <v>727447.9338461539</v>
          </cell>
          <cell r="AQ191">
            <v>-119318.38461538461</v>
          </cell>
          <cell r="AR191">
            <v>830524.85692307702</v>
          </cell>
          <cell r="AS191">
            <v>-111690.6923076923</v>
          </cell>
          <cell r="AT191">
            <v>933601.78000000014</v>
          </cell>
          <cell r="AU191">
            <v>-104062.99999999999</v>
          </cell>
          <cell r="AV191">
            <v>1268601.78</v>
          </cell>
          <cell r="AW191">
            <v>-80613</v>
          </cell>
        </row>
        <row r="192">
          <cell r="B192" t="str">
            <v>036869</v>
          </cell>
          <cell r="C192" t="str">
            <v>WASTEWATER O &amp; M ADMINISTRATION</v>
          </cell>
          <cell r="D192">
            <v>5000000</v>
          </cell>
          <cell r="E192">
            <v>4513084.83</v>
          </cell>
          <cell r="F192">
            <v>0.10533817523364483</v>
          </cell>
          <cell r="G192">
            <v>720000</v>
          </cell>
          <cell r="H192">
            <v>683932.22</v>
          </cell>
          <cell r="I192">
            <v>0.16822429906542055</v>
          </cell>
          <cell r="J192">
            <v>486915.17</v>
          </cell>
          <cell r="K192">
            <v>36067.78</v>
          </cell>
          <cell r="L192">
            <v>96153.846153846156</v>
          </cell>
          <cell r="M192">
            <v>7115.3846153846152</v>
          </cell>
          <cell r="N192">
            <v>76923.076923076922</v>
          </cell>
          <cell r="O192">
            <v>5692.3076923076924</v>
          </cell>
          <cell r="P192">
            <v>76923.076923076922</v>
          </cell>
          <cell r="Q192">
            <v>5692.3076923076924</v>
          </cell>
          <cell r="R192">
            <v>250000</v>
          </cell>
          <cell r="S192">
            <v>18500</v>
          </cell>
          <cell r="T192">
            <v>258000</v>
          </cell>
          <cell r="U192">
            <v>18060</v>
          </cell>
          <cell r="V192">
            <v>508000</v>
          </cell>
          <cell r="W192">
            <v>36560</v>
          </cell>
          <cell r="X192">
            <v>994915.16999999993</v>
          </cell>
          <cell r="Y192">
            <v>72627.78</v>
          </cell>
          <cell r="Z192">
            <v>550120.58154437877</v>
          </cell>
          <cell r="AA192">
            <v>40708.923034284024</v>
          </cell>
          <cell r="AB192">
            <v>550120.58154437877</v>
          </cell>
          <cell r="AC192">
            <v>40708.923034284024</v>
          </cell>
          <cell r="AD192">
            <v>1100241.1630887575</v>
          </cell>
          <cell r="AE192">
            <v>81417.846068568047</v>
          </cell>
          <cell r="AF192" t="e">
            <v>#N/A</v>
          </cell>
          <cell r="AG192">
            <v>40999</v>
          </cell>
          <cell r="AH192" t="e">
            <v>#N/A</v>
          </cell>
          <cell r="AI192" t="e">
            <v>#N/A</v>
          </cell>
          <cell r="AJ192">
            <v>17150</v>
          </cell>
          <cell r="AK192">
            <v>223899</v>
          </cell>
          <cell r="AL192">
            <v>2904843.6669112425</v>
          </cell>
          <cell r="AM192">
            <v>565954.37393143191</v>
          </cell>
          <cell r="AN192">
            <v>0</v>
          </cell>
          <cell r="AO192">
            <v>0</v>
          </cell>
          <cell r="AP192">
            <v>583069.01615384617</v>
          </cell>
          <cell r="AQ192">
            <v>43183.164615384616</v>
          </cell>
          <cell r="AR192">
            <v>659992.09307692305</v>
          </cell>
          <cell r="AS192">
            <v>48875.472307692311</v>
          </cell>
          <cell r="AT192">
            <v>736915.16999999993</v>
          </cell>
          <cell r="AU192">
            <v>54567.780000000006</v>
          </cell>
          <cell r="AV192">
            <v>994915.16999999993</v>
          </cell>
          <cell r="AW192">
            <v>72627.78</v>
          </cell>
        </row>
        <row r="193">
          <cell r="B193" t="str">
            <v>036870</v>
          </cell>
          <cell r="C193" t="str">
            <v>DESIGN &amp; CONST.  ADMINISTRATION</v>
          </cell>
          <cell r="D193">
            <v>323847.09999999998</v>
          </cell>
          <cell r="E193">
            <v>0</v>
          </cell>
          <cell r="F193">
            <v>1</v>
          </cell>
          <cell r="G193">
            <v>23988.66</v>
          </cell>
          <cell r="H193">
            <v>0</v>
          </cell>
          <cell r="I193">
            <v>7.9999949309414134E-2</v>
          </cell>
          <cell r="J193">
            <v>323847.09999999998</v>
          </cell>
          <cell r="K193">
            <v>23988.66</v>
          </cell>
          <cell r="R193">
            <v>0</v>
          </cell>
          <cell r="S193">
            <v>0</v>
          </cell>
          <cell r="V193">
            <v>0</v>
          </cell>
          <cell r="W193">
            <v>0</v>
          </cell>
          <cell r="X193">
            <v>323847.09999999998</v>
          </cell>
          <cell r="Y193">
            <v>23988.66</v>
          </cell>
          <cell r="AD193">
            <v>0</v>
          </cell>
          <cell r="AE193">
            <v>0</v>
          </cell>
          <cell r="AF193" t="e">
            <v>#N/A</v>
          </cell>
          <cell r="AG193">
            <v>40999</v>
          </cell>
          <cell r="AH193" t="e">
            <v>#N/A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323847.09999999998</v>
          </cell>
          <cell r="AQ193">
            <v>23988.66</v>
          </cell>
          <cell r="AR193">
            <v>323847.09999999998</v>
          </cell>
          <cell r="AS193">
            <v>23988.66</v>
          </cell>
          <cell r="AT193">
            <v>323847.09999999998</v>
          </cell>
          <cell r="AU193">
            <v>23988.66</v>
          </cell>
          <cell r="AV193">
            <v>323847.09999999998</v>
          </cell>
          <cell r="AW193">
            <v>23988.66</v>
          </cell>
        </row>
        <row r="194">
          <cell r="B194" t="str">
            <v>SUBTOTAL SEWL ALLIANCE</v>
          </cell>
          <cell r="D194">
            <v>360318033.13000005</v>
          </cell>
          <cell r="E194">
            <v>215076153.10000002</v>
          </cell>
          <cell r="G194">
            <v>26304164.678999998</v>
          </cell>
          <cell r="H194">
            <v>14678880.169000003</v>
          </cell>
          <cell r="J194">
            <v>33593770.130000003</v>
          </cell>
          <cell r="K194">
            <v>2243193.04</v>
          </cell>
          <cell r="L194">
            <v>4864613.6538461493</v>
          </cell>
          <cell r="M194">
            <v>480739.2565384616</v>
          </cell>
          <cell r="N194">
            <v>4117490.9230769235</v>
          </cell>
          <cell r="O194">
            <v>282641.40523076925</v>
          </cell>
          <cell r="P194">
            <v>4117490.9230769235</v>
          </cell>
          <cell r="Q194">
            <v>282641.40523076925</v>
          </cell>
          <cell r="R194">
            <v>13099595.499999996</v>
          </cell>
          <cell r="S194">
            <v>1046022.067</v>
          </cell>
          <cell r="T194">
            <v>12379595.5</v>
          </cell>
          <cell r="U194">
            <v>815619.68500000006</v>
          </cell>
          <cell r="V194">
            <v>25479190.999999996</v>
          </cell>
          <cell r="W194">
            <v>1861641.7519999999</v>
          </cell>
          <cell r="X194">
            <v>54258193.909999996</v>
          </cell>
          <cell r="Y194">
            <v>3748185.3819999988</v>
          </cell>
          <cell r="Z194">
            <v>25180515.314666867</v>
          </cell>
          <cell r="AA194">
            <v>1682616.2298080109</v>
          </cell>
          <cell r="AB194">
            <v>25180515.314666867</v>
          </cell>
          <cell r="AC194">
            <v>1682616.2298080109</v>
          </cell>
          <cell r="AD194">
            <v>50361030.629333735</v>
          </cell>
          <cell r="AE194">
            <v>3365232.4596160217</v>
          </cell>
          <cell r="AL194">
            <v>138078392.97066629</v>
          </cell>
          <cell r="AM194">
            <v>9069190.2883839794</v>
          </cell>
          <cell r="AN194">
            <v>0</v>
          </cell>
          <cell r="AO194">
            <v>0</v>
          </cell>
          <cell r="AP194">
            <v>33643616.563846156</v>
          </cell>
          <cell r="AQ194">
            <v>2367282.8865384613</v>
          </cell>
          <cell r="AR194">
            <v>37761107.486923076</v>
          </cell>
          <cell r="AS194">
            <v>2649924.2917692293</v>
          </cell>
          <cell r="AT194">
            <v>41878598.409999996</v>
          </cell>
          <cell r="AU194">
            <v>2932565.6969999983</v>
          </cell>
          <cell r="AV194">
            <v>54258193.909999996</v>
          </cell>
          <cell r="AW194">
            <v>3748185.3819999988</v>
          </cell>
        </row>
        <row r="195">
          <cell r="B195" t="str">
            <v>METROWATER CONTRACT</v>
          </cell>
        </row>
        <row r="196">
          <cell r="B196" t="str">
            <v>121500</v>
          </cell>
          <cell r="C196" t="str">
            <v>METROWATER NETWORK SERVICES - NZ</v>
          </cell>
          <cell r="D196">
            <v>72924424.778761089</v>
          </cell>
          <cell r="E196">
            <v>66161833.631762169</v>
          </cell>
          <cell r="F196">
            <v>9.513638305123287E-2</v>
          </cell>
          <cell r="G196">
            <v>4311616.8141592899</v>
          </cell>
          <cell r="H196">
            <v>4076600.0479014087</v>
          </cell>
          <cell r="I196">
            <v>6.2839824546806283E-2</v>
          </cell>
          <cell r="J196">
            <v>6762591.1469989205</v>
          </cell>
          <cell r="K196">
            <v>235016.76625788119</v>
          </cell>
          <cell r="L196">
            <v>900000</v>
          </cell>
          <cell r="M196">
            <v>33500</v>
          </cell>
          <cell r="N196">
            <v>1000000</v>
          </cell>
          <cell r="O196">
            <v>39500</v>
          </cell>
          <cell r="P196">
            <v>1100000</v>
          </cell>
          <cell r="Q196">
            <v>45500</v>
          </cell>
          <cell r="R196">
            <v>3000000</v>
          </cell>
          <cell r="S196">
            <v>118500</v>
          </cell>
          <cell r="T196">
            <v>2972000</v>
          </cell>
          <cell r="U196">
            <v>365500</v>
          </cell>
          <cell r="V196">
            <v>5972000</v>
          </cell>
          <cell r="W196">
            <v>484000</v>
          </cell>
          <cell r="X196">
            <v>12734591.14699892</v>
          </cell>
          <cell r="Y196">
            <v>719016.76625788119</v>
          </cell>
          <cell r="Z196">
            <v>7500000</v>
          </cell>
          <cell r="AA196">
            <v>438498</v>
          </cell>
          <cell r="AB196">
            <v>7500000</v>
          </cell>
          <cell r="AC196">
            <v>438498</v>
          </cell>
          <cell r="AD196">
            <v>15000000</v>
          </cell>
          <cell r="AE196">
            <v>876996</v>
          </cell>
          <cell r="AF196" t="e">
            <v>#N/A</v>
          </cell>
          <cell r="AG196">
            <v>41090</v>
          </cell>
          <cell r="AH196" t="e">
            <v>#N/A</v>
          </cell>
          <cell r="AI196" t="e">
            <v>#N/A</v>
          </cell>
          <cell r="AJ196">
            <v>75433</v>
          </cell>
          <cell r="AK196">
            <v>2630988</v>
          </cell>
          <cell r="AL196">
            <v>45189833.631762169</v>
          </cell>
          <cell r="AM196">
            <v>2715604.0479014087</v>
          </cell>
          <cell r="AN196">
            <v>0</v>
          </cell>
          <cell r="AO196">
            <v>0</v>
          </cell>
          <cell r="AP196">
            <v>7662591.1469989205</v>
          </cell>
          <cell r="AQ196">
            <v>268516.76625788119</v>
          </cell>
          <cell r="AR196">
            <v>8662591.1469989195</v>
          </cell>
          <cell r="AS196">
            <v>308016.76625788119</v>
          </cell>
          <cell r="AT196">
            <v>9762591.1469989195</v>
          </cell>
          <cell r="AU196">
            <v>353516.76625788119</v>
          </cell>
          <cell r="AV196">
            <v>12734591.14699892</v>
          </cell>
          <cell r="AW196">
            <v>719016.76625788119</v>
          </cell>
        </row>
        <row r="197">
          <cell r="B197" t="str">
            <v>FXINTERCO</v>
          </cell>
          <cell r="C197" t="str">
            <v>UNREALISED FX</v>
          </cell>
          <cell r="D197">
            <v>0</v>
          </cell>
          <cell r="E197">
            <v>0</v>
          </cell>
          <cell r="F197">
            <v>1</v>
          </cell>
          <cell r="G197">
            <v>-36875.425289312996</v>
          </cell>
          <cell r="H197">
            <v>0</v>
          </cell>
          <cell r="I197">
            <v>-1</v>
          </cell>
          <cell r="J197">
            <v>0</v>
          </cell>
          <cell r="K197">
            <v>-36875.425289312996</v>
          </cell>
          <cell r="R197">
            <v>0</v>
          </cell>
          <cell r="S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-36875.425289312996</v>
          </cell>
          <cell r="AD197">
            <v>0</v>
          </cell>
          <cell r="AE197">
            <v>0</v>
          </cell>
          <cell r="AF197" t="e">
            <v>#N/A</v>
          </cell>
          <cell r="AG197">
            <v>41090</v>
          </cell>
          <cell r="AH197" t="e">
            <v>#N/A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-36875.425289312996</v>
          </cell>
          <cell r="AR197">
            <v>0</v>
          </cell>
          <cell r="AS197">
            <v>-36875.425289312996</v>
          </cell>
          <cell r="AT197">
            <v>0</v>
          </cell>
          <cell r="AU197">
            <v>-36875.425289312996</v>
          </cell>
          <cell r="AV197">
            <v>0</v>
          </cell>
          <cell r="AW197">
            <v>-36875.425289312996</v>
          </cell>
        </row>
        <row r="198">
          <cell r="B198" t="str">
            <v>SUBTOTAL METROWATER</v>
          </cell>
          <cell r="D198">
            <v>72924424.778761089</v>
          </cell>
          <cell r="E198">
            <v>66161833.631762169</v>
          </cell>
          <cell r="G198">
            <v>4274741.3888699766</v>
          </cell>
          <cell r="H198">
            <v>4076600.0479014087</v>
          </cell>
          <cell r="J198">
            <v>6762591.1469989205</v>
          </cell>
          <cell r="K198">
            <v>198141.3409685682</v>
          </cell>
          <cell r="L198">
            <v>900000</v>
          </cell>
          <cell r="M198">
            <v>33500</v>
          </cell>
          <cell r="N198">
            <v>1000000</v>
          </cell>
          <cell r="O198">
            <v>39500</v>
          </cell>
          <cell r="P198">
            <v>1100000</v>
          </cell>
          <cell r="Q198">
            <v>45500</v>
          </cell>
          <cell r="R198">
            <v>3000000</v>
          </cell>
          <cell r="S198">
            <v>118500</v>
          </cell>
          <cell r="T198">
            <v>2972000</v>
          </cell>
          <cell r="U198">
            <v>365500</v>
          </cell>
          <cell r="V198">
            <v>5972000</v>
          </cell>
          <cell r="W198">
            <v>484000</v>
          </cell>
          <cell r="X198">
            <v>12734591.14699892</v>
          </cell>
          <cell r="Y198">
            <v>682141.34096856823</v>
          </cell>
          <cell r="Z198">
            <v>7500000</v>
          </cell>
          <cell r="AA198">
            <v>438498</v>
          </cell>
          <cell r="AB198">
            <v>7500000</v>
          </cell>
          <cell r="AC198">
            <v>438498</v>
          </cell>
          <cell r="AD198">
            <v>15000000</v>
          </cell>
          <cell r="AE198">
            <v>876996</v>
          </cell>
          <cell r="AL198">
            <v>45189833.631762169</v>
          </cell>
          <cell r="AM198">
            <v>2715604.0479014087</v>
          </cell>
          <cell r="AN198">
            <v>0</v>
          </cell>
          <cell r="AO198">
            <v>0</v>
          </cell>
          <cell r="AP198">
            <v>7662591.1469989205</v>
          </cell>
          <cell r="AQ198">
            <v>231641.3409685682</v>
          </cell>
          <cell r="AR198">
            <v>8662591.1469989195</v>
          </cell>
          <cell r="AS198">
            <v>271141.34096856817</v>
          </cell>
          <cell r="AT198">
            <v>9762591.1469989195</v>
          </cell>
          <cell r="AU198">
            <v>316641.34096856817</v>
          </cell>
          <cell r="AV198">
            <v>12734591.14699892</v>
          </cell>
          <cell r="AW198">
            <v>682141.34096856823</v>
          </cell>
        </row>
        <row r="199">
          <cell r="B199" t="str">
            <v>HYDROGRAPHIC SERVICES ALLIANCE (NEW)</v>
          </cell>
        </row>
        <row r="200">
          <cell r="B200" t="str">
            <v>036901</v>
          </cell>
          <cell r="C200" t="str">
            <v>WOORI YALLOCK/MAFFRA</v>
          </cell>
          <cell r="D200">
            <v>5789806.2400000002</v>
          </cell>
          <cell r="E200">
            <v>2019000</v>
          </cell>
          <cell r="F200">
            <v>0.64295346642726292</v>
          </cell>
          <cell r="G200">
            <v>633895.66</v>
          </cell>
          <cell r="H200">
            <v>178100</v>
          </cell>
          <cell r="I200">
            <v>0.12294543323906909</v>
          </cell>
          <cell r="J200">
            <v>838002.09</v>
          </cell>
          <cell r="K200">
            <v>85483.520000000004</v>
          </cell>
          <cell r="L200">
            <v>121000</v>
          </cell>
          <cell r="M200">
            <v>10000</v>
          </cell>
          <cell r="N200">
            <v>121500</v>
          </cell>
          <cell r="O200">
            <v>10000</v>
          </cell>
          <cell r="P200">
            <v>124000</v>
          </cell>
          <cell r="Q200">
            <v>11000</v>
          </cell>
          <cell r="R200">
            <v>366500</v>
          </cell>
          <cell r="S200">
            <v>31000</v>
          </cell>
          <cell r="T200">
            <v>370000</v>
          </cell>
          <cell r="U200">
            <v>32000</v>
          </cell>
          <cell r="V200">
            <v>736500</v>
          </cell>
          <cell r="W200">
            <v>63000</v>
          </cell>
          <cell r="X200">
            <v>1574502.0899999999</v>
          </cell>
          <cell r="Y200">
            <v>148483.52000000002</v>
          </cell>
          <cell r="Z200">
            <v>765000</v>
          </cell>
          <cell r="AA200">
            <v>65500</v>
          </cell>
          <cell r="AB200">
            <v>517500</v>
          </cell>
          <cell r="AC200">
            <v>49600</v>
          </cell>
          <cell r="AD200">
            <v>1282500</v>
          </cell>
          <cell r="AE200">
            <v>115100</v>
          </cell>
          <cell r="AF200" t="e">
            <v>#N/A</v>
          </cell>
          <cell r="AH200" t="e">
            <v>#N/A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959002.09</v>
          </cell>
          <cell r="AQ200">
            <v>95483.520000000004</v>
          </cell>
          <cell r="AR200">
            <v>1080502.0899999999</v>
          </cell>
          <cell r="AS200">
            <v>105483.52</v>
          </cell>
          <cell r="AT200">
            <v>1204502.0899999999</v>
          </cell>
          <cell r="AU200">
            <v>116483.52</v>
          </cell>
          <cell r="AV200">
            <v>1574502.0899999999</v>
          </cell>
          <cell r="AW200">
            <v>148483.52000000002</v>
          </cell>
        </row>
        <row r="201">
          <cell r="B201" t="str">
            <v>036902</v>
          </cell>
          <cell r="C201" t="str">
            <v>GISBOURNE/HAMILTON</v>
          </cell>
          <cell r="D201">
            <v>8625014.6400000006</v>
          </cell>
          <cell r="E201">
            <v>3375000</v>
          </cell>
          <cell r="F201">
            <v>0.60283681561247349</v>
          </cell>
          <cell r="G201">
            <v>677148.06</v>
          </cell>
          <cell r="H201">
            <v>218400</v>
          </cell>
          <cell r="I201">
            <v>8.5198720082188401E-2</v>
          </cell>
          <cell r="J201">
            <v>1294905.0900000001</v>
          </cell>
          <cell r="K201">
            <v>75086.009999999995</v>
          </cell>
          <cell r="L201">
            <v>200000</v>
          </cell>
          <cell r="M201">
            <v>11000</v>
          </cell>
          <cell r="N201">
            <v>205000</v>
          </cell>
          <cell r="O201">
            <v>13500</v>
          </cell>
          <cell r="P201">
            <v>210000</v>
          </cell>
          <cell r="Q201">
            <v>14500</v>
          </cell>
          <cell r="R201">
            <v>615000</v>
          </cell>
          <cell r="S201">
            <v>39000</v>
          </cell>
          <cell r="T201">
            <v>565000</v>
          </cell>
          <cell r="U201">
            <v>37000</v>
          </cell>
          <cell r="V201">
            <v>1180000</v>
          </cell>
          <cell r="W201">
            <v>76000</v>
          </cell>
          <cell r="X201">
            <v>2474905.09</v>
          </cell>
          <cell r="Y201">
            <v>151086.01</v>
          </cell>
          <cell r="Z201">
            <v>1210000</v>
          </cell>
          <cell r="AA201">
            <v>77000</v>
          </cell>
          <cell r="AB201">
            <v>985000</v>
          </cell>
          <cell r="AC201">
            <v>65400</v>
          </cell>
          <cell r="AD201">
            <v>2195000</v>
          </cell>
          <cell r="AE201">
            <v>142400</v>
          </cell>
          <cell r="AF201" t="e">
            <v>#N/A</v>
          </cell>
          <cell r="AH201" t="e">
            <v>#N/A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1494905.09</v>
          </cell>
          <cell r="AQ201">
            <v>86086.01</v>
          </cell>
          <cell r="AR201">
            <v>1699905.09</v>
          </cell>
          <cell r="AS201">
            <v>99586.01</v>
          </cell>
          <cell r="AT201">
            <v>1909905.09</v>
          </cell>
          <cell r="AU201">
            <v>114086.01</v>
          </cell>
          <cell r="AV201">
            <v>2474905.09</v>
          </cell>
          <cell r="AW201">
            <v>151086.01</v>
          </cell>
        </row>
        <row r="202">
          <cell r="B202" t="str">
            <v>036903</v>
          </cell>
          <cell r="C202" t="str">
            <v>KERANG/HORSHAM</v>
          </cell>
          <cell r="D202">
            <v>4719205.13</v>
          </cell>
          <cell r="E202">
            <v>1600500</v>
          </cell>
          <cell r="F202">
            <v>0.65606931244020295</v>
          </cell>
          <cell r="G202">
            <v>256678.07</v>
          </cell>
          <cell r="H202">
            <v>65699.999999999942</v>
          </cell>
          <cell r="I202">
            <v>5.7518546453363135E-2</v>
          </cell>
          <cell r="J202">
            <v>657797.26</v>
          </cell>
          <cell r="K202">
            <v>22448.180000000051</v>
          </cell>
          <cell r="L202">
            <v>100000</v>
          </cell>
          <cell r="M202">
            <v>4500</v>
          </cell>
          <cell r="N202">
            <v>100000</v>
          </cell>
          <cell r="O202">
            <v>4200</v>
          </cell>
          <cell r="P202">
            <v>110000</v>
          </cell>
          <cell r="Q202">
            <v>5100</v>
          </cell>
          <cell r="R202">
            <v>310000</v>
          </cell>
          <cell r="S202">
            <v>13800</v>
          </cell>
          <cell r="T202">
            <v>296500</v>
          </cell>
          <cell r="U202">
            <v>12400</v>
          </cell>
          <cell r="V202">
            <v>606500</v>
          </cell>
          <cell r="W202">
            <v>26200</v>
          </cell>
          <cell r="X202">
            <v>1264297.26</v>
          </cell>
          <cell r="Y202">
            <v>48648.180000000051</v>
          </cell>
          <cell r="Z202">
            <v>609000</v>
          </cell>
          <cell r="AA202">
            <v>25000</v>
          </cell>
          <cell r="AB202">
            <v>385000</v>
          </cell>
          <cell r="AC202">
            <v>14500</v>
          </cell>
          <cell r="AD202">
            <v>994000</v>
          </cell>
          <cell r="AE202">
            <v>39500</v>
          </cell>
          <cell r="AF202" t="e">
            <v>#N/A</v>
          </cell>
          <cell r="AH202" t="e">
            <v>#N/A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-5.8207660913467407E-11</v>
          </cell>
          <cell r="AN202">
            <v>0</v>
          </cell>
          <cell r="AO202">
            <v>0</v>
          </cell>
          <cell r="AP202">
            <v>757797.26</v>
          </cell>
          <cell r="AQ202">
            <v>26948.180000000051</v>
          </cell>
          <cell r="AR202">
            <v>857797.26</v>
          </cell>
          <cell r="AS202">
            <v>31148.180000000051</v>
          </cell>
          <cell r="AT202">
            <v>967797.26</v>
          </cell>
          <cell r="AU202">
            <v>36248.180000000051</v>
          </cell>
          <cell r="AV202">
            <v>1264297.26</v>
          </cell>
          <cell r="AW202">
            <v>48648.180000000051</v>
          </cell>
        </row>
        <row r="203">
          <cell r="B203" t="str">
            <v>036904</v>
          </cell>
          <cell r="C203" t="str">
            <v>TATURA/WANGARATTA</v>
          </cell>
          <cell r="D203">
            <v>6760389.2200000007</v>
          </cell>
          <cell r="E203">
            <v>2269000</v>
          </cell>
          <cell r="F203">
            <v>0.6588564246744516</v>
          </cell>
          <cell r="G203">
            <v>518149.43</v>
          </cell>
          <cell r="H203">
            <v>139500</v>
          </cell>
          <cell r="I203">
            <v>8.3006973046769156E-2</v>
          </cell>
          <cell r="J203">
            <v>840332</v>
          </cell>
          <cell r="K203">
            <v>31260.7</v>
          </cell>
          <cell r="L203">
            <v>133000</v>
          </cell>
          <cell r="M203">
            <v>7500</v>
          </cell>
          <cell r="N203">
            <v>137500</v>
          </cell>
          <cell r="O203">
            <v>7900</v>
          </cell>
          <cell r="P203">
            <v>149000</v>
          </cell>
          <cell r="Q203">
            <v>9800</v>
          </cell>
          <cell r="R203">
            <v>419500</v>
          </cell>
          <cell r="S203">
            <v>25200</v>
          </cell>
          <cell r="T203">
            <v>422500</v>
          </cell>
          <cell r="U203">
            <v>25600</v>
          </cell>
          <cell r="V203">
            <v>842000</v>
          </cell>
          <cell r="W203">
            <v>50800</v>
          </cell>
          <cell r="X203">
            <v>1682332</v>
          </cell>
          <cell r="Y203">
            <v>82060.7</v>
          </cell>
          <cell r="Z203">
            <v>868000</v>
          </cell>
          <cell r="AA203">
            <v>51800</v>
          </cell>
          <cell r="AB203">
            <v>559000</v>
          </cell>
          <cell r="AC203">
            <v>36900</v>
          </cell>
          <cell r="AD203">
            <v>1427000</v>
          </cell>
          <cell r="AE203">
            <v>88700</v>
          </cell>
          <cell r="AF203" t="e">
            <v>#N/A</v>
          </cell>
          <cell r="AH203" t="e">
            <v>#N/A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973332</v>
          </cell>
          <cell r="AQ203">
            <v>38760.699999999997</v>
          </cell>
          <cell r="AR203">
            <v>1110832</v>
          </cell>
          <cell r="AS203">
            <v>46660.7</v>
          </cell>
          <cell r="AT203">
            <v>1259832</v>
          </cell>
          <cell r="AU203">
            <v>56460.7</v>
          </cell>
          <cell r="AV203">
            <v>1682332</v>
          </cell>
          <cell r="AW203">
            <v>82060.7</v>
          </cell>
        </row>
        <row r="204">
          <cell r="B204" t="str">
            <v>036905</v>
          </cell>
          <cell r="C204" t="str">
            <v>DATA MANAGEMENT</v>
          </cell>
          <cell r="D204">
            <v>2013754.4</v>
          </cell>
          <cell r="E204">
            <v>1026500</v>
          </cell>
          <cell r="F204">
            <v>0.58006402166869664</v>
          </cell>
          <cell r="G204">
            <v>-258972.99</v>
          </cell>
          <cell r="H204">
            <v>72100</v>
          </cell>
          <cell r="I204">
            <v>-0.11394810972027755</v>
          </cell>
          <cell r="J204">
            <v>429706.02</v>
          </cell>
          <cell r="K204">
            <v>32572.06</v>
          </cell>
          <cell r="L204">
            <v>50000</v>
          </cell>
          <cell r="M204">
            <v>2500</v>
          </cell>
          <cell r="N204">
            <v>50000</v>
          </cell>
          <cell r="O204">
            <v>2500</v>
          </cell>
          <cell r="P204">
            <v>91000</v>
          </cell>
          <cell r="Q204">
            <v>6700</v>
          </cell>
          <cell r="R204">
            <v>191000</v>
          </cell>
          <cell r="S204">
            <v>11700</v>
          </cell>
          <cell r="T204">
            <v>187000</v>
          </cell>
          <cell r="U204">
            <v>12100</v>
          </cell>
          <cell r="V204">
            <v>378000</v>
          </cell>
          <cell r="W204">
            <v>23800</v>
          </cell>
          <cell r="X204">
            <v>807706.02</v>
          </cell>
          <cell r="Y204">
            <v>56372.06</v>
          </cell>
          <cell r="Z204">
            <v>379000</v>
          </cell>
          <cell r="AA204">
            <v>27100</v>
          </cell>
          <cell r="AB204">
            <v>269500</v>
          </cell>
          <cell r="AC204">
            <v>21200</v>
          </cell>
          <cell r="AD204">
            <v>648500</v>
          </cell>
          <cell r="AE204">
            <v>48300</v>
          </cell>
          <cell r="AF204" t="e">
            <v>#N/A</v>
          </cell>
          <cell r="AH204" t="e">
            <v>#N/A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479706.02</v>
          </cell>
          <cell r="AQ204">
            <v>35072.06</v>
          </cell>
          <cell r="AR204">
            <v>529706.02</v>
          </cell>
          <cell r="AS204">
            <v>37572.06</v>
          </cell>
          <cell r="AT204">
            <v>620706.02</v>
          </cell>
          <cell r="AU204">
            <v>44272.06</v>
          </cell>
          <cell r="AV204">
            <v>807706.02</v>
          </cell>
          <cell r="AW204">
            <v>56372.06</v>
          </cell>
        </row>
        <row r="205">
          <cell r="B205" t="str">
            <v>036906</v>
          </cell>
          <cell r="C205" t="str">
            <v>BLACKTOWN NSW</v>
          </cell>
          <cell r="D205">
            <v>3658486.11</v>
          </cell>
          <cell r="E205">
            <v>1447000</v>
          </cell>
          <cell r="F205">
            <v>0.60245248155095876</v>
          </cell>
          <cell r="G205">
            <v>221161.17</v>
          </cell>
          <cell r="H205">
            <v>80500.000000000058</v>
          </cell>
          <cell r="I205">
            <v>6.4341071577597206E-2</v>
          </cell>
          <cell r="J205">
            <v>552478.99</v>
          </cell>
          <cell r="K205">
            <v>23759.819999999949</v>
          </cell>
          <cell r="L205">
            <v>75000</v>
          </cell>
          <cell r="M205">
            <v>4000</v>
          </cell>
          <cell r="N205">
            <v>76000</v>
          </cell>
          <cell r="O205">
            <v>4200</v>
          </cell>
          <cell r="P205">
            <v>77000</v>
          </cell>
          <cell r="Q205">
            <v>4300</v>
          </cell>
          <cell r="R205">
            <v>228000</v>
          </cell>
          <cell r="S205">
            <v>12500</v>
          </cell>
          <cell r="T205">
            <v>229000</v>
          </cell>
          <cell r="U205">
            <v>12600</v>
          </cell>
          <cell r="V205">
            <v>457000</v>
          </cell>
          <cell r="W205">
            <v>25100</v>
          </cell>
          <cell r="X205">
            <v>1009478.99</v>
          </cell>
          <cell r="Y205">
            <v>48859.819999999949</v>
          </cell>
          <cell r="Z205">
            <v>492000</v>
          </cell>
          <cell r="AA205">
            <v>27000</v>
          </cell>
          <cell r="AB205">
            <v>498000</v>
          </cell>
          <cell r="AC205">
            <v>28400</v>
          </cell>
          <cell r="AD205">
            <v>990000</v>
          </cell>
          <cell r="AE205">
            <v>55400</v>
          </cell>
          <cell r="AF205" t="e">
            <v>#N/A</v>
          </cell>
          <cell r="AH205" t="e">
            <v>#N/A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5.8207660913467407E-11</v>
          </cell>
          <cell r="AN205">
            <v>0</v>
          </cell>
          <cell r="AO205">
            <v>0</v>
          </cell>
          <cell r="AP205">
            <v>627478.99</v>
          </cell>
          <cell r="AQ205">
            <v>27759.819999999949</v>
          </cell>
          <cell r="AR205">
            <v>703478.99</v>
          </cell>
          <cell r="AS205">
            <v>31959.819999999949</v>
          </cell>
          <cell r="AT205">
            <v>780478.99</v>
          </cell>
          <cell r="AU205">
            <v>36259.819999999949</v>
          </cell>
          <cell r="AV205">
            <v>1009478.99</v>
          </cell>
          <cell r="AW205">
            <v>48859.819999999949</v>
          </cell>
        </row>
        <row r="206">
          <cell r="B206" t="str">
            <v>036907</v>
          </cell>
          <cell r="C206" t="str">
            <v>ROCKLEA</v>
          </cell>
          <cell r="D206">
            <v>334468.03999999998</v>
          </cell>
          <cell r="E206">
            <v>112900</v>
          </cell>
          <cell r="F206">
            <v>0.71121652484254017</v>
          </cell>
          <cell r="G206">
            <v>76835.570000000007</v>
          </cell>
          <cell r="H206">
            <v>38500</v>
          </cell>
          <cell r="I206">
            <v>0.29823713602559498</v>
          </cell>
          <cell r="J206">
            <v>67472.02</v>
          </cell>
          <cell r="K206">
            <v>12292.68</v>
          </cell>
          <cell r="L206">
            <v>6000</v>
          </cell>
          <cell r="M206">
            <v>1800</v>
          </cell>
          <cell r="N206">
            <v>6000</v>
          </cell>
          <cell r="O206">
            <v>2100</v>
          </cell>
          <cell r="P206">
            <v>6000</v>
          </cell>
          <cell r="Q206">
            <v>2100</v>
          </cell>
          <cell r="R206">
            <v>18000</v>
          </cell>
          <cell r="S206">
            <v>6000</v>
          </cell>
          <cell r="T206">
            <v>18900</v>
          </cell>
          <cell r="U206">
            <v>6300</v>
          </cell>
          <cell r="V206">
            <v>36900</v>
          </cell>
          <cell r="W206">
            <v>12300</v>
          </cell>
          <cell r="X206">
            <v>104372.02</v>
          </cell>
          <cell r="Y206">
            <v>24592.68</v>
          </cell>
          <cell r="Z206">
            <v>38000</v>
          </cell>
          <cell r="AA206">
            <v>12900</v>
          </cell>
          <cell r="AB206">
            <v>38000</v>
          </cell>
          <cell r="AC206">
            <v>13300</v>
          </cell>
          <cell r="AD206">
            <v>76000</v>
          </cell>
          <cell r="AE206">
            <v>26200</v>
          </cell>
          <cell r="AF206" t="e">
            <v>#N/A</v>
          </cell>
          <cell r="AH206" t="e">
            <v>#N/A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73472.02</v>
          </cell>
          <cell r="AQ206">
            <v>14092.68</v>
          </cell>
          <cell r="AR206">
            <v>79472.02</v>
          </cell>
          <cell r="AS206">
            <v>16192.68</v>
          </cell>
          <cell r="AT206">
            <v>85472.02</v>
          </cell>
          <cell r="AU206">
            <v>18292.68</v>
          </cell>
          <cell r="AV206">
            <v>104372.02</v>
          </cell>
          <cell r="AW206">
            <v>24592.68</v>
          </cell>
        </row>
        <row r="207">
          <cell r="B207" t="str">
            <v>036908</v>
          </cell>
          <cell r="C207" t="str">
            <v>HYDROLOGY MANAGEMENT</v>
          </cell>
          <cell r="D207">
            <v>517225.76</v>
          </cell>
          <cell r="E207">
            <v>353500</v>
          </cell>
          <cell r="F207">
            <v>0.317257100652721</v>
          </cell>
          <cell r="G207">
            <v>102428.33</v>
          </cell>
          <cell r="H207">
            <v>70300</v>
          </cell>
          <cell r="I207">
            <v>0.24693578742761257</v>
          </cell>
          <cell r="J207">
            <v>163725.76000000001</v>
          </cell>
          <cell r="K207">
            <v>32128.33</v>
          </cell>
          <cell r="L207">
            <v>22000</v>
          </cell>
          <cell r="M207">
            <v>3800</v>
          </cell>
          <cell r="N207">
            <v>23000</v>
          </cell>
          <cell r="O207">
            <v>4000</v>
          </cell>
          <cell r="P207">
            <v>23000</v>
          </cell>
          <cell r="Q207">
            <v>4000</v>
          </cell>
          <cell r="R207">
            <v>68000</v>
          </cell>
          <cell r="S207">
            <v>11800</v>
          </cell>
          <cell r="T207">
            <v>69000</v>
          </cell>
          <cell r="U207">
            <v>12000</v>
          </cell>
          <cell r="V207">
            <v>137000</v>
          </cell>
          <cell r="W207">
            <v>23800</v>
          </cell>
          <cell r="X207">
            <v>300725.76000000001</v>
          </cell>
          <cell r="Y207">
            <v>55928.33</v>
          </cell>
          <cell r="Z207">
            <v>138000</v>
          </cell>
          <cell r="AA207">
            <v>25000</v>
          </cell>
          <cell r="AB207">
            <v>78500</v>
          </cell>
          <cell r="AC207">
            <v>21500</v>
          </cell>
          <cell r="AD207">
            <v>216500</v>
          </cell>
          <cell r="AE207">
            <v>46500</v>
          </cell>
          <cell r="AF207" t="e">
            <v>#N/A</v>
          </cell>
          <cell r="AH207" t="e">
            <v>#N/A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185725.76</v>
          </cell>
          <cell r="AQ207">
            <v>35928.33</v>
          </cell>
          <cell r="AR207">
            <v>208725.76000000001</v>
          </cell>
          <cell r="AS207">
            <v>39928.33</v>
          </cell>
          <cell r="AT207">
            <v>231725.76</v>
          </cell>
          <cell r="AU207">
            <v>43928.33</v>
          </cell>
          <cell r="AV207">
            <v>300725.76000000001</v>
          </cell>
          <cell r="AW207">
            <v>55928.33</v>
          </cell>
        </row>
        <row r="208">
          <cell r="B208" t="str">
            <v>036990</v>
          </cell>
          <cell r="C208" t="str">
            <v>ADMINISTRATION</v>
          </cell>
          <cell r="D208">
            <v>19095</v>
          </cell>
          <cell r="E208">
            <v>0</v>
          </cell>
          <cell r="F208">
            <v>0.25587942118222085</v>
          </cell>
          <cell r="G208">
            <v>-691811.29</v>
          </cell>
          <cell r="H208">
            <v>-529000</v>
          </cell>
          <cell r="I208">
            <v>-0.97313991974947922</v>
          </cell>
          <cell r="J208">
            <v>19095</v>
          </cell>
          <cell r="K208">
            <v>-162811.29</v>
          </cell>
          <cell r="M208">
            <v>-29000</v>
          </cell>
          <cell r="O208">
            <v>-29000</v>
          </cell>
          <cell r="Q208">
            <v>-29000</v>
          </cell>
          <cell r="R208">
            <v>0</v>
          </cell>
          <cell r="S208">
            <v>-87000</v>
          </cell>
          <cell r="U208">
            <v>-87000</v>
          </cell>
          <cell r="V208">
            <v>0</v>
          </cell>
          <cell r="W208">
            <v>-174000</v>
          </cell>
          <cell r="X208">
            <v>19095</v>
          </cell>
          <cell r="Y208">
            <v>-336811.29000000004</v>
          </cell>
          <cell r="AA208">
            <v>-175000</v>
          </cell>
          <cell r="AC208">
            <v>-180000</v>
          </cell>
          <cell r="AD208">
            <v>0</v>
          </cell>
          <cell r="AE208">
            <v>-355000</v>
          </cell>
          <cell r="AF208" t="e">
            <v>#N/A</v>
          </cell>
          <cell r="AH208" t="e">
            <v>#N/A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19095</v>
          </cell>
          <cell r="AQ208">
            <v>-191811.29</v>
          </cell>
          <cell r="AR208">
            <v>19095</v>
          </cell>
          <cell r="AS208">
            <v>-220811.29</v>
          </cell>
          <cell r="AT208">
            <v>19095</v>
          </cell>
          <cell r="AU208">
            <v>-249811.29</v>
          </cell>
          <cell r="AV208">
            <v>19095</v>
          </cell>
          <cell r="AW208">
            <v>-336811.29000000004</v>
          </cell>
        </row>
        <row r="209">
          <cell r="B209" t="str">
            <v>SUBTOTAL HYDRO SERVICES ALLIANCE</v>
          </cell>
          <cell r="D209">
            <v>32437444.540000003</v>
          </cell>
          <cell r="E209">
            <v>12203400.000000002</v>
          </cell>
          <cell r="G209">
            <v>1535512.01</v>
          </cell>
          <cell r="H209">
            <v>334100</v>
          </cell>
          <cell r="J209">
            <v>4863514.2300000004</v>
          </cell>
          <cell r="K209">
            <v>152220.01</v>
          </cell>
          <cell r="L209">
            <v>707000</v>
          </cell>
          <cell r="M209">
            <v>16100</v>
          </cell>
          <cell r="N209">
            <v>719000</v>
          </cell>
          <cell r="O209">
            <v>19400</v>
          </cell>
          <cell r="P209">
            <v>790000</v>
          </cell>
          <cell r="Q209">
            <v>28500</v>
          </cell>
          <cell r="R209">
            <v>2216000</v>
          </cell>
          <cell r="S209">
            <v>64000</v>
          </cell>
          <cell r="T209">
            <v>2157900</v>
          </cell>
          <cell r="U209">
            <v>63000</v>
          </cell>
          <cell r="V209">
            <v>4373900</v>
          </cell>
          <cell r="W209">
            <v>127000</v>
          </cell>
          <cell r="X209">
            <v>9237414.2299999986</v>
          </cell>
          <cell r="Y209">
            <v>279220.01</v>
          </cell>
          <cell r="Z209">
            <v>4499000</v>
          </cell>
          <cell r="AA209">
            <v>136300</v>
          </cell>
          <cell r="AB209">
            <v>3330500</v>
          </cell>
          <cell r="AC209">
            <v>70800</v>
          </cell>
          <cell r="AD209">
            <v>7829500</v>
          </cell>
          <cell r="AE209">
            <v>207100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5570514.2300000004</v>
          </cell>
          <cell r="AQ209">
            <v>168320.00999999998</v>
          </cell>
          <cell r="AR209">
            <v>6289514.2299999986</v>
          </cell>
          <cell r="AS209">
            <v>187720.00999999998</v>
          </cell>
          <cell r="AT209">
            <v>7079514.2299999986</v>
          </cell>
          <cell r="AU209">
            <v>216220.01000000004</v>
          </cell>
          <cell r="AV209">
            <v>9237414.2299999986</v>
          </cell>
          <cell r="AW209">
            <v>279220.01</v>
          </cell>
        </row>
        <row r="210">
          <cell r="B210" t="str">
            <v>TOTAL UTILITIES</v>
          </cell>
          <cell r="D210">
            <v>835457562.09557462</v>
          </cell>
          <cell r="E210">
            <v>439308649.68857569</v>
          </cell>
          <cell r="G210">
            <v>54989448.458866403</v>
          </cell>
          <cell r="H210">
            <v>25542312.987897843</v>
          </cell>
          <cell r="J210">
            <v>86950099.726998925</v>
          </cell>
          <cell r="K210">
            <v>4785120.590968566</v>
          </cell>
          <cell r="L210">
            <v>13258594.11041835</v>
          </cell>
          <cell r="M210">
            <v>589019.27945088944</v>
          </cell>
          <cell r="N210">
            <v>14806111.926426562</v>
          </cell>
          <cell r="O210">
            <v>881679.99129853793</v>
          </cell>
          <cell r="P210">
            <v>15051203.775218576</v>
          </cell>
          <cell r="Q210">
            <v>1009641.550049389</v>
          </cell>
          <cell r="R210">
            <v>43115909.812063485</v>
          </cell>
          <cell r="S210">
            <v>2480340.8207988162</v>
          </cell>
          <cell r="T210">
            <v>34784598.310400002</v>
          </cell>
          <cell r="U210">
            <v>1905637.2333978182</v>
          </cell>
          <cell r="V210">
            <v>77900508.122463495</v>
          </cell>
          <cell r="W210">
            <v>4385978.0541966343</v>
          </cell>
          <cell r="X210">
            <v>160035840.62946239</v>
          </cell>
          <cell r="Y210">
            <v>8814449.2351652011</v>
          </cell>
          <cell r="Z210">
            <v>74028817.329016864</v>
          </cell>
          <cell r="AA210">
            <v>3711854.0086078108</v>
          </cell>
          <cell r="AB210">
            <v>49761015.314666867</v>
          </cell>
          <cell r="AC210">
            <v>2827164.2298080111</v>
          </cell>
          <cell r="AD210">
            <v>123789832.64368373</v>
          </cell>
          <cell r="AE210">
            <v>6539018.2384158215</v>
          </cell>
          <cell r="AL210">
            <v>236460770.42242846</v>
          </cell>
          <cell r="AM210">
            <v>14234501.026285388</v>
          </cell>
          <cell r="AN210">
            <v>0</v>
          </cell>
          <cell r="AO210">
            <v>0</v>
          </cell>
          <cell r="AP210">
            <v>95393926.617417276</v>
          </cell>
          <cell r="AQ210">
            <v>5017490.4604194565</v>
          </cell>
          <cell r="AR210">
            <v>110200038.54384385</v>
          </cell>
          <cell r="AS210">
            <v>5899170.4517179932</v>
          </cell>
          <cell r="AT210">
            <v>125251242.3190624</v>
          </cell>
          <cell r="AU210">
            <v>6908812.001767383</v>
          </cell>
          <cell r="AV210">
            <v>160035840.62946239</v>
          </cell>
          <cell r="AW210">
            <v>8814449.2351652011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">
          <cell r="B1" t="str">
            <v>31/10/2008</v>
          </cell>
        </row>
        <row r="5">
          <cell r="B5">
            <v>2</v>
          </cell>
        </row>
      </sheetData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 curve percentages"/>
      <sheetName val="Tender Summary"/>
      <sheetName val="Sheet1"/>
      <sheetName val="TOC Summary"/>
      <sheetName val="Fee calculation summary"/>
      <sheetName val="markup adjustment"/>
      <sheetName val="Staff Summary"/>
      <sheetName val="PM-R Program mgmt Resource"/>
      <sheetName val="PM-D Design Resource"/>
      <sheetName val="PM127 Specialist Consultant Res"/>
      <sheetName val="PM RESOURCE AND EXPENSES TOTAL"/>
      <sheetName val="PM120 Financial"/>
      <sheetName val="PM121 Office Establishment"/>
      <sheetName val="PM122 Communication"/>
      <sheetName val="PM123 Travel"/>
      <sheetName val="PM124 General Expenses"/>
      <sheetName val="PM125 Office Expenses"/>
      <sheetName val="X-Project Details"/>
      <sheetName val="X-Commissioning"/>
      <sheetName val="X-Design Cost Estimate"/>
      <sheetName val="X-Tunneling Budget"/>
      <sheetName val="X-Trench Summary"/>
      <sheetName val="X-Pump Station Summary"/>
      <sheetName val="X-PS Everest Export"/>
      <sheetName val="X-Office fitout budget 1 &amp; 2"/>
      <sheetName val="X-TOC 4 Summary"/>
      <sheetName val="Direct Labour"/>
      <sheetName val="SWC Staff"/>
      <sheetName val="Design Staff"/>
      <sheetName val="Design Consultant Staff"/>
      <sheetName val="Construction Staff"/>
      <sheetName val="Special Preliminary Items"/>
      <sheetName val="Bmark Drop Down List Sources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B5" t="str">
            <v>ALT</v>
          </cell>
        </row>
        <row r="6">
          <cell r="B6" t="str">
            <v>Program Management</v>
          </cell>
        </row>
        <row r="7">
          <cell r="B7" t="str">
            <v>Project Controls &amp; Finance</v>
          </cell>
        </row>
        <row r="8">
          <cell r="B8" t="str">
            <v>Safety</v>
          </cell>
        </row>
        <row r="9">
          <cell r="B9" t="str">
            <v>Environmental</v>
          </cell>
        </row>
        <row r="10">
          <cell r="B10" t="str">
            <v>Community</v>
          </cell>
        </row>
        <row r="11">
          <cell r="B11" t="str">
            <v>Commissioning</v>
          </cell>
        </row>
        <row r="12">
          <cell r="B12" t="str">
            <v>Design</v>
          </cell>
        </row>
        <row r="13">
          <cell r="B13" t="str">
            <v>Procurement and Quality Assurance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 Rev Change Report"/>
      <sheetName val="Program Financial Summary (May)"/>
      <sheetName val="Program Financial Summary (Jan)"/>
      <sheetName val="Variance Summary"/>
      <sheetName val="Design Change Report"/>
      <sheetName val="Construction Change Report"/>
      <sheetName val="Accrual Corections"/>
      <sheetName val="FreeForm"/>
      <sheetName val="Export File"/>
      <sheetName val="Instructions"/>
      <sheetName val="TimeProData"/>
      <sheetName val="Design EV"/>
      <sheetName val="Construction EV"/>
      <sheetName val="Budget &amp; Actuals Import"/>
      <sheetName val="Import Last Months Export File"/>
      <sheetName val="Refresh Last Month Pivot"/>
      <sheetName val="Import FSAM Diary Quants"/>
      <sheetName val="Bgt and Act Pivot"/>
      <sheetName val="Project Info"/>
      <sheetName val="Variance &amp; Risk Codes"/>
      <sheetName val="Risk"/>
      <sheetName val="Risk Pivot"/>
      <sheetName val="BudgetVarianceExport"/>
      <sheetName val="Budget Variance Report"/>
      <sheetName val="MonthlyVarianceExport"/>
      <sheetName val="Monthly Variance Report"/>
      <sheetName val="FreeForm Construction EV"/>
      <sheetName val="FreeForm Design EV"/>
      <sheetName val="FSAM Summary"/>
      <sheetName val="CV Data List"/>
      <sheetName val="CV Data Report"/>
      <sheetName val="Forecast Report"/>
      <sheetName val="Design List"/>
      <sheetName val="Design Pivot"/>
      <sheetName val="Revenue Summary"/>
      <sheetName val="BLC1"/>
      <sheetName val="BLC2"/>
      <sheetName val="COR4"/>
      <sheetName val="COR5"/>
      <sheetName val="COR6"/>
      <sheetName val="COR7"/>
      <sheetName val="COR8"/>
      <sheetName val="COR11"/>
      <sheetName val="CRC1"/>
      <sheetName val="CRC2"/>
      <sheetName val="CRC3"/>
      <sheetName val="CRC4"/>
      <sheetName val="CRC5"/>
      <sheetName val="CRC6"/>
      <sheetName val="KIA2"/>
      <sheetName val="KIA3"/>
      <sheetName val="CVI1"/>
      <sheetName val="CVI2"/>
      <sheetName val="CVI3"/>
      <sheetName val="CVI4"/>
      <sheetName val="CVI5"/>
      <sheetName val="CVI6"/>
      <sheetName val="DAP1"/>
      <sheetName val="DAP2"/>
      <sheetName val="DAP3"/>
      <sheetName val="DAP4"/>
      <sheetName val="DAP5"/>
      <sheetName val="DAP6"/>
      <sheetName val="QBN3"/>
      <sheetName val="QBN4"/>
      <sheetName val="QBN6"/>
      <sheetName val="TRK1"/>
      <sheetName val="WAG1"/>
      <sheetName val="WAG2"/>
      <sheetName val="WAG3"/>
      <sheetName val="WAG4"/>
      <sheetName val="WLG1"/>
      <sheetName val="WLG2"/>
      <sheetName val="WLG3"/>
      <sheetName val="WLG4"/>
      <sheetName val="WLG5"/>
      <sheetName val="WLG6"/>
      <sheetName val="GOS1"/>
      <sheetName val="GOS2"/>
      <sheetName val="GOS3"/>
      <sheetName val="GOS4"/>
      <sheetName val="GOS5"/>
      <sheetName val="GOS6"/>
      <sheetName val="GOS7"/>
      <sheetName val="GOS8"/>
      <sheetName val="HOM1"/>
      <sheetName val="HOM2"/>
      <sheetName val="HOM3"/>
      <sheetName val="HOM4"/>
      <sheetName val="LID1"/>
      <sheetName val="LID2"/>
      <sheetName val="LID3"/>
      <sheetName val="LID4"/>
      <sheetName val="LID5"/>
      <sheetName val="LID6"/>
      <sheetName val="LID7"/>
      <sheetName val="LID8"/>
      <sheetName val="LJT1"/>
      <sheetName val="LJT2"/>
      <sheetName val="LJT3"/>
      <sheetName val="LJT4"/>
      <sheetName val="LJT5"/>
      <sheetName val="LJT6"/>
      <sheetName val="LJT7"/>
      <sheetName val="LJT8"/>
      <sheetName val="LJT9"/>
      <sheetName val="CBT1"/>
      <sheetName val="CBT4"/>
      <sheetName val="BLK1"/>
      <sheetName val="BLK2"/>
      <sheetName val="BLK3"/>
      <sheetName val="BLK4"/>
      <sheetName val="BLK5"/>
      <sheetName val="BLK6"/>
      <sheetName val="BLK7"/>
      <sheetName val="BLK9"/>
      <sheetName val="BLK10"/>
      <sheetName val="LIV2"/>
      <sheetName val="LIV3"/>
      <sheetName val="LIV4"/>
      <sheetName val="PTH1"/>
      <sheetName val="PTH2"/>
      <sheetName val="PTH3"/>
      <sheetName val="PTH4"/>
      <sheetName val="PTH5"/>
      <sheetName val="PTH6"/>
      <sheetName val="PTH7"/>
      <sheetName val="PTH8"/>
      <sheetName val="RCH1"/>
      <sheetName val="RCH2"/>
      <sheetName val="RCH3"/>
      <sheetName val="RCH4"/>
      <sheetName val="RCH5"/>
      <sheetName val="RCH6"/>
      <sheetName val="RCH7"/>
      <sheetName val="RIV1"/>
      <sheetName val="RIV2"/>
      <sheetName val="RIV3"/>
      <sheetName val="RIV4"/>
      <sheetName val="ARM4"/>
      <sheetName val="ARM5"/>
      <sheetName val="ARM6"/>
      <sheetName val="CFS1"/>
      <sheetName val="CFS2"/>
      <sheetName val="CFS3"/>
      <sheetName val="CFS4"/>
      <sheetName val="CFS5"/>
      <sheetName val="CFS6"/>
      <sheetName val="CFS7"/>
      <sheetName val="GRN2"/>
      <sheetName val="MAI3"/>
      <sheetName val="MAI7"/>
      <sheetName val="MAI11"/>
      <sheetName val="MDG1"/>
      <sheetName val="MDG2"/>
      <sheetName val="MDG3"/>
      <sheetName val="SAW1"/>
      <sheetName val="SAW2"/>
      <sheetName val="SAW3"/>
      <sheetName val="SAW4"/>
      <sheetName val="TEE2"/>
      <sheetName val="TEE3"/>
      <sheetName val="TEE4"/>
      <sheetName val="TEE5"/>
      <sheetName val="CAI1"/>
      <sheetName val="CAI2"/>
      <sheetName val="CAI3"/>
      <sheetName val="CAI4"/>
      <sheetName val="CAI5"/>
      <sheetName val="CAI6"/>
      <sheetName val="GUL2"/>
      <sheetName val="GUL3"/>
      <sheetName val="GUL4"/>
      <sheetName val="GUL5"/>
      <sheetName val="GUL6"/>
      <sheetName val="GUL7"/>
      <sheetName val="MKY1"/>
      <sheetName val="MKY2"/>
      <sheetName val="MKY3"/>
      <sheetName val="MKY4"/>
      <sheetName val="MKY5"/>
      <sheetName val="MKY6"/>
      <sheetName val="TNS1"/>
      <sheetName val="TNS2"/>
      <sheetName val="TNS3"/>
      <sheetName val="TNS4"/>
      <sheetName val="TNS5"/>
      <sheetName val="TNS6"/>
      <sheetName val="TNS7"/>
      <sheetName val="APL1"/>
      <sheetName val="APL2"/>
      <sheetName val="APL3"/>
      <sheetName val="APL4"/>
      <sheetName val="APL5"/>
      <sheetName val="APL6"/>
      <sheetName val="APL7"/>
      <sheetName val="APL8"/>
      <sheetName val="APL9"/>
      <sheetName val="ASH1"/>
      <sheetName val="ASH2"/>
      <sheetName val="ASH3"/>
      <sheetName val="ASH4"/>
      <sheetName val="BDB1"/>
      <sheetName val="BDB2"/>
      <sheetName val="BDB3"/>
      <sheetName val="BDB4"/>
      <sheetName val="GDN1"/>
      <sheetName val="GDN2"/>
      <sheetName val="GDN3"/>
      <sheetName val="GDN4"/>
      <sheetName val="GDN5"/>
      <sheetName val="GDN6"/>
      <sheetName val="GDN7"/>
      <sheetName val="GDN8"/>
      <sheetName val="KLG1"/>
      <sheetName val="KLG4"/>
      <sheetName val="KLG7"/>
      <sheetName val="NDG1"/>
      <sheetName val="NDG2"/>
      <sheetName val="NDG3"/>
      <sheetName val="NDG4"/>
      <sheetName val="NDG5"/>
      <sheetName val="NDG6"/>
      <sheetName val="SGI1"/>
      <sheetName val="SGI3"/>
      <sheetName val="SGI6"/>
      <sheetName val="SLA1"/>
      <sheetName val="SLA2"/>
      <sheetName val="SLA3"/>
      <sheetName val="BBE1"/>
      <sheetName val="BBE2"/>
      <sheetName val="BBE3"/>
      <sheetName val="BBE8"/>
      <sheetName val="IPS2"/>
      <sheetName val="IPS3"/>
      <sheetName val="IPS4"/>
      <sheetName val="IPS8"/>
      <sheetName val="ROT1"/>
      <sheetName val="ROT2"/>
      <sheetName val="ROT3"/>
      <sheetName val="ROT4"/>
      <sheetName val="TOB1"/>
      <sheetName val="TOB2"/>
      <sheetName val="TOB3"/>
      <sheetName val="TOB4"/>
      <sheetName val="TOB5"/>
      <sheetName val="TOB6"/>
      <sheetName val="TOB7"/>
      <sheetName val="TOB8"/>
      <sheetName val="TOB9"/>
      <sheetName val="TOB10"/>
      <sheetName val="FRV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Row Labels</v>
          </cell>
        </row>
      </sheetData>
      <sheetData sheetId="11"/>
      <sheetData sheetId="12"/>
      <sheetData sheetId="13"/>
      <sheetData sheetId="14"/>
      <sheetData sheetId="15">
        <row r="3">
          <cell r="A3" t="str">
            <v>Row Labels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pingToSOR"/>
      <sheetName val="SOR"/>
      <sheetName val="ShortListSilcarItems"/>
      <sheetName val="RecACSvsAsBlt"/>
      <sheetName val="FIBRE DISTRIBUTION AREA"/>
      <sheetName val="PVR'S"/>
      <sheetName val="SILCAR PVR's"/>
      <sheetName val="FIBRE SERVING AREA"/>
      <sheetName val="InputTables"/>
      <sheetName val="Issues Register"/>
      <sheetName val="Tracker"/>
      <sheetName val="ARMIDALE - (Silcar) - FDAs NBN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POINT OF INTERCONNECT</v>
          </cell>
          <cell r="D7" t="str">
            <v>Table40</v>
          </cell>
        </row>
        <row r="8">
          <cell r="C8" t="str">
            <v>FIBRE ACCESS NETWORK</v>
          </cell>
          <cell r="D8" t="str">
            <v>Table50</v>
          </cell>
        </row>
        <row r="9">
          <cell r="C9" t="str">
            <v>TRANSIT FIBRE</v>
          </cell>
          <cell r="D9" t="str">
            <v>Table60</v>
          </cell>
        </row>
        <row r="10">
          <cell r="C10" t="str">
            <v>DISTRIBUTION FIBRE</v>
          </cell>
          <cell r="D10" t="str">
            <v>Table70</v>
          </cell>
        </row>
        <row r="11">
          <cell r="C11" t="str">
            <v>LOCAL FIBRE</v>
          </cell>
          <cell r="D11" t="str">
            <v>Table80</v>
          </cell>
        </row>
        <row r="12">
          <cell r="C12" t="str">
            <v>DROP</v>
          </cell>
          <cell r="D12" t="str">
            <v>Table90</v>
          </cell>
        </row>
      </sheetData>
      <sheetData sheetId="9"/>
      <sheetData sheetId="10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stone Dates"/>
      <sheetName val="Calendar"/>
    </sheetNames>
    <sheetDataSet>
      <sheetData sheetId="0" refreshError="1"/>
      <sheetData sheetId="1">
        <row r="2">
          <cell r="C2">
            <v>40909</v>
          </cell>
        </row>
        <row r="3">
          <cell r="C3">
            <v>40910</v>
          </cell>
        </row>
        <row r="4">
          <cell r="C4">
            <v>40934</v>
          </cell>
        </row>
        <row r="5">
          <cell r="C5">
            <v>41005</v>
          </cell>
        </row>
        <row r="6">
          <cell r="C6">
            <v>41006</v>
          </cell>
        </row>
        <row r="7">
          <cell r="C7">
            <v>41007</v>
          </cell>
        </row>
        <row r="8">
          <cell r="C8">
            <v>41008</v>
          </cell>
        </row>
        <row r="9">
          <cell r="C9">
            <v>41024</v>
          </cell>
        </row>
        <row r="10">
          <cell r="C10">
            <v>41071</v>
          </cell>
        </row>
        <row r="11">
          <cell r="C11">
            <v>41183</v>
          </cell>
        </row>
        <row r="12">
          <cell r="C12">
            <v>41268</v>
          </cell>
        </row>
        <row r="13">
          <cell r="C13">
            <v>41269</v>
          </cell>
        </row>
        <row r="14">
          <cell r="C14">
            <v>41275</v>
          </cell>
        </row>
        <row r="15">
          <cell r="C15">
            <v>41302</v>
          </cell>
        </row>
        <row r="16">
          <cell r="C16">
            <v>41362</v>
          </cell>
        </row>
        <row r="17">
          <cell r="C17">
            <v>41363</v>
          </cell>
        </row>
        <row r="18">
          <cell r="C18">
            <v>41364</v>
          </cell>
        </row>
        <row r="19">
          <cell r="C19">
            <v>41365</v>
          </cell>
        </row>
        <row r="20">
          <cell r="C20">
            <v>41389</v>
          </cell>
        </row>
        <row r="21">
          <cell r="C21">
            <v>41435</v>
          </cell>
        </row>
        <row r="22">
          <cell r="C22">
            <v>41554</v>
          </cell>
        </row>
        <row r="23">
          <cell r="C23">
            <v>41633</v>
          </cell>
        </row>
        <row r="24">
          <cell r="C24">
            <v>41634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 OH Summary (2)"/>
      <sheetName val="Cost codes (2)"/>
      <sheetName val="Sheet2"/>
      <sheetName val="PT Cost report by FSAM"/>
      <sheetName val="PT Cost report summary"/>
      <sheetName val="Cert costs"/>
      <sheetName val="Budget &amp; Forecast OH "/>
      <sheetName val="31 Jan 12 Summary"/>
      <sheetName val="20 Dec 11 Summary"/>
      <sheetName val="Regional Forecast Summary"/>
      <sheetName val="Shift Statement"/>
      <sheetName val="Forecast OH Summary"/>
      <sheetName val="Staff Forecast NATIONAL"/>
      <sheetName val="Staff Forecast REGIONAL"/>
      <sheetName val="Overall Const Sum 1st round"/>
      <sheetName val="Overall Const Sum 2nd round "/>
      <sheetName val="Overall Const Sum 4th round "/>
      <sheetName val="OH01100 STAFF SALARIES"/>
      <sheetName val="OH01100 STAFF SALARIES - SITE S"/>
      <sheetName val="Staff Forecast REGIONAL old"/>
      <sheetName val="OH01100 STAFF SALARIES SITE LAB"/>
      <sheetName val="Staff Forecast SITE"/>
      <sheetName val="Staff Forecast DESIGN"/>
      <sheetName val="STAFF BUDGET DATA"/>
      <sheetName val="110507 Recoveries"/>
      <sheetName val="110512-513 Salaries"/>
      <sheetName val="OH01130 RECRUITMENT"/>
      <sheetName val="OH01180 OFFICE SUPPLIES"/>
      <sheetName val="OH01190 OFFICE HIRE"/>
      <sheetName val="OH01210 CLEANUP &amp; RUBBISH"/>
      <sheetName val="OH01220 CLEANING"/>
      <sheetName val="OH01240 PLANT &amp; EQUIPMENT"/>
      <sheetName val="OH01250 SMALL TOOLS"/>
      <sheetName val="OH01260 FREIGHT"/>
      <sheetName val="OH01280 SAFETY"/>
      <sheetName val="OH01300 TRAINING"/>
      <sheetName val="OH01310 ENTERTAINMENT"/>
      <sheetName val="OH01330 IT EXPENSES"/>
      <sheetName val="OH01380 PUBLIC RELATIONS"/>
      <sheetName val="OH01400 TRAVEL - STAFF"/>
      <sheetName val="OH01420 BANK RELATED FEES"/>
      <sheetName val="OH01440 COMMUNITY WELFARE"/>
      <sheetName val="OH01460 INSURANCES"/>
      <sheetName val="OH01470 LEGAL FEES"/>
      <sheetName val="OH01510 ESTABLISH SITE FAC"/>
      <sheetName val="OH01530 ESTABLISH PLANT &amp; EQUIP"/>
      <sheetName val="OH01550 EMPLOYEE RECRUITMENT"/>
      <sheetName val="OH01590 MISC OTHER OVERHEADS"/>
      <sheetName val="OH01610 QUALITY ASSURANCE"/>
      <sheetName val="OH01900 OTHER COSTS"/>
      <sheetName val="Data"/>
      <sheetName val="Cost codes"/>
      <sheetName val="OVERHEAD CASHFLOW GRAPH"/>
      <sheetName val="OH CASHFLOW"/>
      <sheetName val="Office &amp; Depot Budget Summary"/>
      <sheetName val="Per Person costings"/>
      <sheetName val="Oncost Rates"/>
      <sheetName val="Shift statement bud vs Forec"/>
      <sheetName val="GreenSheet"/>
      <sheetName val="Budget Reconciliation"/>
      <sheetName val="role comparis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>
        <row r="39">
          <cell r="E39">
            <v>0.40265418502202643</v>
          </cell>
        </row>
      </sheetData>
      <sheetData sheetId="57"/>
      <sheetData sheetId="58"/>
      <sheetData sheetId="59"/>
      <sheetData sheetId="6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Instructions"/>
      <sheetName val="Submission Check"/>
      <sheetName val="2.1 Regional Priorities"/>
      <sheetName val="2.2 SOR Pricing Instructions"/>
      <sheetName val="2.2 Definitions"/>
      <sheetName val="2.2 Definition Tables"/>
      <sheetName val="2.2 Schedule of Rates Pricing"/>
      <sheetName val="2.3 Site Establishment Pricing"/>
      <sheetName val="2.4 National Capability"/>
      <sheetName val="2.5 Volume Discount"/>
      <sheetName val="2.6 NBN Co.Specified Equipment"/>
      <sheetName val="2.7 Additional Items"/>
      <sheetName val="2.8 Price Review Mechanism"/>
      <sheetName val="2.9 Assumptions"/>
      <sheetName val="2.10 Additional SOR Items"/>
    </sheetNames>
    <sheetDataSet>
      <sheetData sheetId="0" refreshError="1"/>
      <sheetData sheetId="1" refreshError="1"/>
      <sheetData sheetId="2" refreshError="1"/>
      <sheetData sheetId="3" refreshError="1">
        <row r="21">
          <cell r="C21">
            <v>1</v>
          </cell>
        </row>
        <row r="45">
          <cell r="D45" t="str">
            <v>Yes</v>
          </cell>
          <cell r="E45">
            <v>1</v>
          </cell>
        </row>
        <row r="46">
          <cell r="D46" t="str">
            <v>No</v>
          </cell>
          <cell r="E46">
            <v>2</v>
          </cell>
        </row>
        <row r="47">
          <cell r="E47">
            <v>3</v>
          </cell>
        </row>
        <row r="48">
          <cell r="E48">
            <v>4</v>
          </cell>
        </row>
        <row r="49">
          <cell r="E49">
            <v>5</v>
          </cell>
        </row>
        <row r="50">
          <cell r="E50">
            <v>6</v>
          </cell>
        </row>
        <row r="51">
          <cell r="E51">
            <v>7</v>
          </cell>
        </row>
        <row r="52">
          <cell r="E52">
            <v>8</v>
          </cell>
        </row>
        <row r="53">
          <cell r="E53">
            <v>9</v>
          </cell>
        </row>
        <row r="54">
          <cell r="E54">
            <v>10</v>
          </cell>
        </row>
        <row r="55">
          <cell r="E55">
            <v>11</v>
          </cell>
        </row>
        <row r="56">
          <cell r="E56">
            <v>12</v>
          </cell>
        </row>
        <row r="57">
          <cell r="E57">
            <v>13</v>
          </cell>
        </row>
        <row r="58">
          <cell r="E58">
            <v>14</v>
          </cell>
        </row>
        <row r="59">
          <cell r="E59">
            <v>15</v>
          </cell>
        </row>
        <row r="60">
          <cell r="E60">
            <v>16</v>
          </cell>
        </row>
        <row r="61">
          <cell r="E61" t="str">
            <v>N/A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Cashflow Cumulative"/>
      <sheetName val="Cashflow In &amp; Out"/>
      <sheetName val="Revenue OH Graph"/>
      <sheetName val="Revenue Graph"/>
      <sheetName val="Rev by FY"/>
      <sheetName val="Summary"/>
      <sheetName val="Total Cashflow Chart"/>
      <sheetName val="Total Cashflow Chart cumulative"/>
      <sheetName val="Total Cash Flow Single FSAM 50%"/>
      <sheetName val="Total Cash Flow Single FSAM"/>
      <sheetName val="FSAM Direct Cost Cash Flow 50%"/>
      <sheetName val="FSAM Direct Cost Cash Flow"/>
      <sheetName val="Payment Term Definitions"/>
      <sheetName val="CPP"/>
      <sheetName val="Date analysis"/>
      <sheetName val="Design Cash In"/>
      <sheetName val="Construction Cash in"/>
      <sheetName val="Lead In Cash in"/>
      <sheetName val="Design Cash Out"/>
      <sheetName val="Construction Cash Out"/>
      <sheetName val="Lead in Cash Out"/>
      <sheetName val="Total Cash In - Out cumulative"/>
      <sheetName val="Total Cash In - Out"/>
      <sheetName val="Design Cash In - Out"/>
      <sheetName val="Construction In - Out"/>
      <sheetName val="Lead in In - Out"/>
      <sheetName val="FSAM date Tracking"/>
      <sheetName val="Cost drivers"/>
      <sheetName val="Overhead Analysis"/>
      <sheetName val="FSAM Direct Cost Cash Flow eg"/>
      <sheetName val="Sheet1"/>
      <sheetName val="Agreed EOT Model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>
        <row r="2">
          <cell r="C2" t="str">
            <v>Payment Terms</v>
          </cell>
          <cell r="D2" t="str">
            <v>Month 1</v>
          </cell>
          <cell r="E2" t="str">
            <v>Month 2</v>
          </cell>
          <cell r="F2" t="str">
            <v>Month 3</v>
          </cell>
        </row>
        <row r="3">
          <cell r="C3">
            <v>0</v>
          </cell>
          <cell r="D3">
            <v>1</v>
          </cell>
          <cell r="E3">
            <v>0</v>
          </cell>
          <cell r="F3">
            <v>0</v>
          </cell>
        </row>
        <row r="4">
          <cell r="C4">
            <v>14</v>
          </cell>
          <cell r="D4">
            <v>0.5</v>
          </cell>
          <cell r="E4">
            <v>0.5</v>
          </cell>
          <cell r="F4">
            <v>0</v>
          </cell>
        </row>
        <row r="5">
          <cell r="C5">
            <v>30</v>
          </cell>
          <cell r="D5">
            <v>0</v>
          </cell>
          <cell r="E5">
            <v>1</v>
          </cell>
          <cell r="F5">
            <v>0</v>
          </cell>
        </row>
        <row r="6">
          <cell r="C6">
            <v>45</v>
          </cell>
          <cell r="D6">
            <v>0</v>
          </cell>
          <cell r="E6">
            <v>0.5</v>
          </cell>
          <cell r="F6">
            <v>0.5</v>
          </cell>
        </row>
        <row r="7">
          <cell r="C7">
            <v>60</v>
          </cell>
          <cell r="D7">
            <v>0</v>
          </cell>
          <cell r="E7">
            <v>0</v>
          </cell>
          <cell r="F7">
            <v>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ign Payment Summary"/>
      <sheetName val="Adhoc"/>
      <sheetName val="Instructions"/>
      <sheetName val="Project Info"/>
      <sheetName val="Con Rev Change Report"/>
      <sheetName val="Program Financial Summary"/>
      <sheetName val="Variance Summary"/>
      <sheetName val="Design Change Report"/>
      <sheetName val="Export File"/>
      <sheetName val="Construction Change Report"/>
      <sheetName val="Accrual Corections"/>
      <sheetName val="FreeForm"/>
      <sheetName val="TimeProData"/>
      <sheetName val="Design EV"/>
      <sheetName val="Construction EV"/>
      <sheetName val="Budget &amp; Actuals Import"/>
      <sheetName val="Import Last Months Export File"/>
      <sheetName val="Refresh Last Month Pivot"/>
      <sheetName val="Import FSAM Diary Quants"/>
      <sheetName val="Bgt and Act Pivot"/>
      <sheetName val="Variance &amp; Risk Codes"/>
      <sheetName val="Risk"/>
      <sheetName val="Risk Pivot"/>
      <sheetName val="BudgetVarianceExport"/>
      <sheetName val="Budget Variance Report"/>
      <sheetName val="MonthlyVarianceExport"/>
      <sheetName val="Monthly Variance Report"/>
      <sheetName val="FreeForm Construction EV"/>
      <sheetName val="FreeForm Design EV"/>
      <sheetName val="FSAM Summary"/>
      <sheetName val="CV Data List"/>
      <sheetName val="CV Data Report"/>
      <sheetName val="Forecast Report"/>
      <sheetName val="Design List"/>
      <sheetName val="Design Pivot"/>
      <sheetName val="Revenue Summary"/>
      <sheetName val="BLC1"/>
      <sheetName val="BLC2"/>
      <sheetName val="COR4"/>
      <sheetName val="COR5"/>
      <sheetName val="COR6"/>
      <sheetName val="COR7"/>
      <sheetName val="COR8"/>
      <sheetName val="COR11"/>
      <sheetName val="CRC1"/>
      <sheetName val="CRC2"/>
      <sheetName val="CRC3"/>
      <sheetName val="CRC4"/>
      <sheetName val="CRC5"/>
      <sheetName val="CRC6"/>
      <sheetName val="KIA2"/>
      <sheetName val="KIA3"/>
      <sheetName val="CVI1"/>
      <sheetName val="CVI2"/>
      <sheetName val="CVI3"/>
      <sheetName val="CVI4"/>
      <sheetName val="CVI5"/>
      <sheetName val="CVI6"/>
      <sheetName val="DAP1"/>
      <sheetName val="DAP2"/>
      <sheetName val="DAP3"/>
      <sheetName val="DAP4"/>
      <sheetName val="DAP5"/>
      <sheetName val="DAP6"/>
      <sheetName val="QBN3"/>
      <sheetName val="QBN4"/>
      <sheetName val="QBN6"/>
      <sheetName val="TRK1"/>
      <sheetName val="WAG1"/>
      <sheetName val="WAG2"/>
      <sheetName val="WAG3"/>
      <sheetName val="WAG4"/>
      <sheetName val="WLG1"/>
      <sheetName val="WLG2"/>
      <sheetName val="WLG3"/>
      <sheetName val="WLG4"/>
      <sheetName val="WLG5"/>
      <sheetName val="WLG6"/>
      <sheetName val="GOS1"/>
      <sheetName val="GOS2"/>
      <sheetName val="GOS3"/>
      <sheetName val="GOS4"/>
      <sheetName val="GOS5"/>
      <sheetName val="GOS6"/>
      <sheetName val="GOS7"/>
      <sheetName val="GOS8"/>
      <sheetName val="HOM1"/>
      <sheetName val="HOM2"/>
      <sheetName val="HOM3"/>
      <sheetName val="HOM4"/>
      <sheetName val="LID1"/>
      <sheetName val="LID2"/>
      <sheetName val="LID3"/>
      <sheetName val="LID4"/>
      <sheetName val="LID5"/>
      <sheetName val="LID6"/>
      <sheetName val="LID7"/>
      <sheetName val="LID8"/>
      <sheetName val="LJT1"/>
      <sheetName val="LJT2"/>
      <sheetName val="LJT3"/>
      <sheetName val="LJT4"/>
      <sheetName val="LJT5"/>
      <sheetName val="LJT6"/>
      <sheetName val="LJT7"/>
      <sheetName val="LJT8"/>
      <sheetName val="LJT9"/>
      <sheetName val="CBT1"/>
      <sheetName val="CBT4"/>
      <sheetName val="BLK1"/>
      <sheetName val="BLK2"/>
      <sheetName val="BLK3"/>
      <sheetName val="BLK4"/>
      <sheetName val="BLK5"/>
      <sheetName val="BLK6"/>
      <sheetName val="BLK7"/>
      <sheetName val="BLK9"/>
      <sheetName val="BLK10"/>
      <sheetName val="LIV2"/>
      <sheetName val="LIV3"/>
      <sheetName val="LIV4"/>
      <sheetName val="PTH1"/>
      <sheetName val="PTH2"/>
      <sheetName val="PTH3"/>
      <sheetName val="PTH4"/>
      <sheetName val="PTH5"/>
      <sheetName val="PTH6"/>
      <sheetName val="PTH7"/>
      <sheetName val="PTH8"/>
      <sheetName val="RCH1"/>
      <sheetName val="RCH2"/>
      <sheetName val="RCH3"/>
      <sheetName val="RCH4"/>
      <sheetName val="RCH5"/>
      <sheetName val="RCH6"/>
      <sheetName val="RCH7"/>
      <sheetName val="RIV1"/>
      <sheetName val="RIV2"/>
      <sheetName val="RIV3"/>
      <sheetName val="RIV4"/>
      <sheetName val="ARM4"/>
      <sheetName val="ARM5"/>
      <sheetName val="ARM6"/>
      <sheetName val="CFS1"/>
      <sheetName val="CFS2"/>
      <sheetName val="CFS3"/>
      <sheetName val="CFS4"/>
      <sheetName val="CFS5"/>
      <sheetName val="CFS6"/>
      <sheetName val="CFS7"/>
      <sheetName val="GRN2"/>
      <sheetName val="MAI3"/>
      <sheetName val="MAI7"/>
      <sheetName val="MAI11"/>
      <sheetName val="MDG1"/>
      <sheetName val="MDG2"/>
      <sheetName val="MDG3"/>
      <sheetName val="SAW1"/>
      <sheetName val="SAW2"/>
      <sheetName val="SAW3"/>
      <sheetName val="SAW4"/>
      <sheetName val="TEE2"/>
      <sheetName val="TEE3"/>
      <sheetName val="TEE4"/>
      <sheetName val="TEE5"/>
      <sheetName val="CAI1"/>
      <sheetName val="CAI2"/>
      <sheetName val="CAI3"/>
      <sheetName val="CAI4"/>
      <sheetName val="CAI5"/>
      <sheetName val="CAI6"/>
      <sheetName val="GUL2"/>
      <sheetName val="GUL3"/>
      <sheetName val="GUL4"/>
      <sheetName val="GUL5"/>
      <sheetName val="GUL6"/>
      <sheetName val="GUL7"/>
      <sheetName val="MKY1"/>
      <sheetName val="MKY2"/>
      <sheetName val="MKY3"/>
      <sheetName val="MKY4"/>
      <sheetName val="MKY5"/>
      <sheetName val="MKY6"/>
      <sheetName val="TNS1"/>
      <sheetName val="TNS2"/>
      <sheetName val="TNS3"/>
      <sheetName val="TNS4"/>
      <sheetName val="TNS5"/>
      <sheetName val="TNS6"/>
      <sheetName val="TNS7"/>
      <sheetName val="APL1"/>
      <sheetName val="APL2"/>
      <sheetName val="APL3"/>
      <sheetName val="APL4"/>
      <sheetName val="APL5"/>
      <sheetName val="APL6"/>
      <sheetName val="APL7"/>
      <sheetName val="APL8"/>
      <sheetName val="APL9"/>
      <sheetName val="ASH1"/>
      <sheetName val="ASH2"/>
      <sheetName val="ASH3"/>
      <sheetName val="ASH4"/>
      <sheetName val="BDB1"/>
      <sheetName val="BDB2"/>
      <sheetName val="BDB3"/>
      <sheetName val="BDB4"/>
      <sheetName val="GDN1"/>
      <sheetName val="GDN2"/>
      <sheetName val="GDN3"/>
      <sheetName val="GDN4"/>
      <sheetName val="GDN5"/>
      <sheetName val="GDN6"/>
      <sheetName val="GDN7"/>
      <sheetName val="GDN8"/>
      <sheetName val="KLG1"/>
      <sheetName val="KLG4"/>
      <sheetName val="KLG7"/>
      <sheetName val="NDG1"/>
      <sheetName val="NDG2"/>
      <sheetName val="NDG3"/>
      <sheetName val="NDG4"/>
      <sheetName val="NDG5"/>
      <sheetName val="NDG6"/>
      <sheetName val="SGI1"/>
      <sheetName val="SGI3"/>
      <sheetName val="SGI6"/>
      <sheetName val="SLA1"/>
      <sheetName val="SLA2"/>
      <sheetName val="SLA3"/>
      <sheetName val="BBE1"/>
      <sheetName val="BBE2"/>
      <sheetName val="BBE3"/>
      <sheetName val="BBE8"/>
      <sheetName val="IPS2"/>
      <sheetName val="IPS3"/>
      <sheetName val="IPS4"/>
      <sheetName val="IPS8"/>
      <sheetName val="ROT1"/>
      <sheetName val="ROT2"/>
      <sheetName val="ROT3"/>
      <sheetName val="ROT4"/>
      <sheetName val="TOB1"/>
      <sheetName val="TOB2"/>
      <sheetName val="TOB3"/>
      <sheetName val="TOB4"/>
      <sheetName val="TOB5"/>
      <sheetName val="TOB6"/>
      <sheetName val="TOB7"/>
      <sheetName val="TOB8"/>
      <sheetName val="TOB9"/>
      <sheetName val="TOB10"/>
      <sheetName val="FRV2"/>
    </sheetNames>
    <sheetDataSet>
      <sheetData sheetId="0"/>
      <sheetData sheetId="1"/>
      <sheetData sheetId="2"/>
      <sheetData sheetId="3">
        <row r="1">
          <cell r="B1" t="str">
            <v>JDE Subledger</v>
          </cell>
          <cell r="C1" t="str">
            <v>FSAM Code</v>
          </cell>
          <cell r="D1" t="str">
            <v>State</v>
          </cell>
          <cell r="E1" t="str">
            <v>NSMA Region</v>
          </cell>
          <cell r="F1" t="str">
            <v>FSA</v>
          </cell>
          <cell r="G1" t="str">
            <v>Project Manger</v>
          </cell>
          <cell r="H1" t="str">
            <v>PM Region</v>
          </cell>
          <cell r="I1" t="str">
            <v>GNAF</v>
          </cell>
          <cell r="J1" t="str">
            <v>Offshore</v>
          </cell>
        </row>
        <row r="2">
          <cell r="B2" t="str">
            <v>GOS7</v>
          </cell>
          <cell r="C2" t="str">
            <v>FSAM-2GOS-07</v>
          </cell>
          <cell r="D2" t="str">
            <v>NSW</v>
          </cell>
          <cell r="E2" t="str">
            <v>NSW North</v>
          </cell>
          <cell r="F2" t="str">
            <v>2GOS</v>
          </cell>
          <cell r="G2" t="str">
            <v>Ben Stelzer</v>
          </cell>
          <cell r="H2" t="str">
            <v>NSW Sydney Metro</v>
          </cell>
          <cell r="I2">
            <v>2797</v>
          </cell>
        </row>
        <row r="3">
          <cell r="B3" t="str">
            <v>GOS8</v>
          </cell>
          <cell r="C3" t="str">
            <v>FSAM-2GOS-08</v>
          </cell>
          <cell r="D3" t="str">
            <v>NSW</v>
          </cell>
          <cell r="E3" t="str">
            <v>NSW North</v>
          </cell>
          <cell r="F3" t="str">
            <v>2GOS</v>
          </cell>
          <cell r="G3" t="str">
            <v>Ben Stelzer</v>
          </cell>
          <cell r="H3" t="str">
            <v>NSW Sydney Metro</v>
          </cell>
          <cell r="I3">
            <v>2752</v>
          </cell>
          <cell r="J3" t="str">
            <v>Infotech</v>
          </cell>
        </row>
        <row r="4">
          <cell r="B4" t="str">
            <v>HOM4</v>
          </cell>
          <cell r="C4" t="str">
            <v>FSAM-2HOM-04</v>
          </cell>
          <cell r="D4" t="str">
            <v>NSW</v>
          </cell>
          <cell r="E4" t="str">
            <v>Sydney Metro</v>
          </cell>
          <cell r="F4" t="str">
            <v>2HOM</v>
          </cell>
          <cell r="G4" t="str">
            <v>Ben Stelzer</v>
          </cell>
          <cell r="H4" t="str">
            <v>NSW Sydney Metro</v>
          </cell>
          <cell r="I4">
            <v>2200</v>
          </cell>
          <cell r="J4" t="str">
            <v>STSJV</v>
          </cell>
        </row>
        <row r="5">
          <cell r="B5" t="str">
            <v>LID7</v>
          </cell>
          <cell r="C5" t="str">
            <v>FSAM-2LID-07</v>
          </cell>
          <cell r="D5" t="str">
            <v>NSW</v>
          </cell>
          <cell r="E5" t="str">
            <v>Sydney Metro</v>
          </cell>
          <cell r="F5" t="str">
            <v>2LID</v>
          </cell>
          <cell r="G5" t="str">
            <v>Ben Stelzer</v>
          </cell>
          <cell r="H5" t="str">
            <v>NSW Sydney Metro</v>
          </cell>
          <cell r="I5">
            <v>2200</v>
          </cell>
          <cell r="J5" t="str">
            <v>STSJV</v>
          </cell>
        </row>
        <row r="6">
          <cell r="B6" t="str">
            <v>LID8</v>
          </cell>
          <cell r="C6" t="str">
            <v>FSAM-2LID-08</v>
          </cell>
          <cell r="D6" t="str">
            <v>NSW</v>
          </cell>
          <cell r="E6" t="str">
            <v>Sydney Metro</v>
          </cell>
          <cell r="F6" t="str">
            <v>2LID</v>
          </cell>
          <cell r="G6" t="str">
            <v>Ben Stelzer</v>
          </cell>
          <cell r="H6" t="str">
            <v>NSW Sydney Metro</v>
          </cell>
          <cell r="I6">
            <v>2200</v>
          </cell>
          <cell r="J6" t="str">
            <v>Infotech</v>
          </cell>
        </row>
        <row r="7">
          <cell r="B7" t="str">
            <v>LJT5</v>
          </cell>
          <cell r="C7" t="str">
            <v>FSAM-2LJT-05</v>
          </cell>
          <cell r="D7" t="str">
            <v>NSW</v>
          </cell>
          <cell r="E7" t="str">
            <v>NSW North</v>
          </cell>
          <cell r="F7" t="str">
            <v>2LJT</v>
          </cell>
          <cell r="G7" t="str">
            <v>Ben Stelzer</v>
          </cell>
          <cell r="H7" t="str">
            <v>NSW Sydney Metro</v>
          </cell>
          <cell r="I7">
            <v>2200</v>
          </cell>
          <cell r="J7" t="str">
            <v>Apex</v>
          </cell>
        </row>
        <row r="8">
          <cell r="B8" t="str">
            <v>LJT6</v>
          </cell>
          <cell r="C8" t="str">
            <v>FSAM-2LJT-06</v>
          </cell>
          <cell r="D8" t="str">
            <v>NSW</v>
          </cell>
          <cell r="E8" t="str">
            <v>NSW North</v>
          </cell>
          <cell r="F8" t="str">
            <v>2LJT</v>
          </cell>
          <cell r="G8" t="str">
            <v>Ben Stelzer</v>
          </cell>
          <cell r="H8" t="str">
            <v>NSW Sydney Metro</v>
          </cell>
          <cell r="I8">
            <v>2200</v>
          </cell>
          <cell r="J8" t="str">
            <v>Infotech</v>
          </cell>
        </row>
        <row r="9">
          <cell r="B9" t="str">
            <v>LJT8</v>
          </cell>
          <cell r="C9" t="str">
            <v>FSAM-2LJT-08</v>
          </cell>
          <cell r="D9" t="str">
            <v>NSW</v>
          </cell>
          <cell r="E9" t="str">
            <v>NSW North</v>
          </cell>
          <cell r="F9" t="str">
            <v>2LJT</v>
          </cell>
          <cell r="G9" t="str">
            <v>Ben Stelzer</v>
          </cell>
          <cell r="H9" t="str">
            <v>NSW Sydney Metro</v>
          </cell>
          <cell r="I9">
            <v>2678</v>
          </cell>
          <cell r="J9" t="str">
            <v>Apex</v>
          </cell>
        </row>
        <row r="10">
          <cell r="B10" t="str">
            <v>LJT9</v>
          </cell>
          <cell r="C10" t="str">
            <v>FSAM-2LJT-09</v>
          </cell>
          <cell r="D10" t="str">
            <v>NSW</v>
          </cell>
          <cell r="E10" t="str">
            <v>NSW North</v>
          </cell>
          <cell r="F10" t="str">
            <v>2LJT</v>
          </cell>
          <cell r="G10" t="str">
            <v>Ben Stelzer</v>
          </cell>
          <cell r="H10" t="str">
            <v>NSW Sydney Metro</v>
          </cell>
          <cell r="I10">
            <v>1870</v>
          </cell>
          <cell r="J10" t="str">
            <v>Infotech</v>
          </cell>
        </row>
        <row r="11">
          <cell r="B11" t="str">
            <v>BLK7</v>
          </cell>
          <cell r="C11" t="str">
            <v>FSAM-2BLK-07</v>
          </cell>
          <cell r="D11" t="str">
            <v>NSW</v>
          </cell>
          <cell r="E11" t="str">
            <v>Sydney Metro</v>
          </cell>
          <cell r="F11" t="str">
            <v>2BLK</v>
          </cell>
          <cell r="G11" t="str">
            <v>Damien Marov West</v>
          </cell>
          <cell r="H11" t="str">
            <v>NSW Sydney West</v>
          </cell>
          <cell r="I11">
            <v>2200</v>
          </cell>
          <cell r="J11" t="str">
            <v>Dalys</v>
          </cell>
        </row>
        <row r="12">
          <cell r="B12" t="str">
            <v>BLK8</v>
          </cell>
          <cell r="C12" t="str">
            <v>FSAM-2BLK-08</v>
          </cell>
          <cell r="D12" t="str">
            <v>NSW</v>
          </cell>
          <cell r="E12" t="str">
            <v>Sydney Metro</v>
          </cell>
          <cell r="F12" t="str">
            <v>2BLK</v>
          </cell>
          <cell r="G12" t="str">
            <v>Damien Marov West</v>
          </cell>
          <cell r="H12" t="str">
            <v>NSW Sydney West</v>
          </cell>
          <cell r="I12">
            <v>2200</v>
          </cell>
        </row>
        <row r="13">
          <cell r="B13" t="str">
            <v>BLK9</v>
          </cell>
          <cell r="C13" t="str">
            <v>FSAM-2BLK-09</v>
          </cell>
          <cell r="D13" t="str">
            <v>NSW</v>
          </cell>
          <cell r="E13" t="str">
            <v>Sydney Metro</v>
          </cell>
          <cell r="F13" t="str">
            <v>2BLK</v>
          </cell>
          <cell r="G13" t="str">
            <v>Damien Marov West</v>
          </cell>
          <cell r="H13" t="str">
            <v>NSW Sydney West</v>
          </cell>
          <cell r="I13">
            <v>2200</v>
          </cell>
          <cell r="J13" t="str">
            <v>Infotech</v>
          </cell>
        </row>
        <row r="14">
          <cell r="B14" t="str">
            <v>BLK10</v>
          </cell>
          <cell r="C14" t="str">
            <v>FSAM-2BLK-10</v>
          </cell>
          <cell r="D14" t="str">
            <v>NSW</v>
          </cell>
          <cell r="E14" t="str">
            <v>Sydney Metro</v>
          </cell>
          <cell r="F14" t="str">
            <v>2BLK</v>
          </cell>
          <cell r="G14" t="str">
            <v>Damien Marov West</v>
          </cell>
          <cell r="H14" t="str">
            <v>NSW Sydney West</v>
          </cell>
          <cell r="I14">
            <v>2200</v>
          </cell>
          <cell r="J14" t="str">
            <v>Infotech</v>
          </cell>
        </row>
        <row r="15">
          <cell r="B15" t="str">
            <v>CBT1</v>
          </cell>
          <cell r="C15" t="str">
            <v>FSAM-2CBT-01</v>
          </cell>
          <cell r="D15" t="str">
            <v>NSW</v>
          </cell>
          <cell r="E15" t="str">
            <v>Sydney Metro</v>
          </cell>
          <cell r="F15" t="str">
            <v>2CBT</v>
          </cell>
          <cell r="G15" t="str">
            <v>Damien Marov West</v>
          </cell>
          <cell r="H15" t="str">
            <v>NSW Sydney West</v>
          </cell>
          <cell r="I15">
            <v>2200</v>
          </cell>
        </row>
        <row r="16">
          <cell r="B16" t="str">
            <v>CBT2</v>
          </cell>
          <cell r="C16" t="str">
            <v>FSAM-2CBT-02</v>
          </cell>
          <cell r="D16" t="str">
            <v>NSW</v>
          </cell>
          <cell r="E16" t="str">
            <v>Sydney Metro</v>
          </cell>
          <cell r="F16" t="str">
            <v>2CBT</v>
          </cell>
          <cell r="G16" t="str">
            <v>Damien Marov West</v>
          </cell>
          <cell r="H16" t="str">
            <v>NSW Sydney West</v>
          </cell>
          <cell r="I16">
            <v>2200</v>
          </cell>
        </row>
        <row r="17">
          <cell r="B17" t="str">
            <v>CBT3</v>
          </cell>
          <cell r="C17" t="str">
            <v>FSAM-2CBT-03</v>
          </cell>
          <cell r="D17" t="str">
            <v>NSW</v>
          </cell>
          <cell r="E17" t="str">
            <v>Sydney Metro</v>
          </cell>
          <cell r="F17" t="str">
            <v>2CBT</v>
          </cell>
          <cell r="G17" t="str">
            <v>Damien Marov West</v>
          </cell>
          <cell r="H17" t="str">
            <v>NSW Sydney West</v>
          </cell>
          <cell r="I17">
            <v>2200</v>
          </cell>
        </row>
        <row r="18">
          <cell r="B18" t="str">
            <v>CBT4</v>
          </cell>
          <cell r="C18" t="str">
            <v>FSAM-2CBT-04</v>
          </cell>
          <cell r="D18" t="str">
            <v>NSW</v>
          </cell>
          <cell r="E18" t="str">
            <v>Sydney Metro</v>
          </cell>
          <cell r="F18" t="str">
            <v>2CBT</v>
          </cell>
          <cell r="G18" t="str">
            <v>Damien Marov West</v>
          </cell>
          <cell r="H18" t="str">
            <v>NSW Sydney West</v>
          </cell>
          <cell r="I18">
            <v>2200</v>
          </cell>
        </row>
        <row r="19">
          <cell r="B19" t="str">
            <v>LIV2</v>
          </cell>
          <cell r="C19" t="str">
            <v>FSAM-2LIV-02</v>
          </cell>
          <cell r="D19" t="str">
            <v>NSW</v>
          </cell>
          <cell r="E19" t="str">
            <v>Sydney Metro</v>
          </cell>
          <cell r="F19" t="str">
            <v>2LIV</v>
          </cell>
          <cell r="G19" t="str">
            <v>Damien Marov West</v>
          </cell>
          <cell r="H19" t="str">
            <v>NSW Sydney West</v>
          </cell>
          <cell r="I19">
            <v>2200</v>
          </cell>
          <cell r="J19" t="str">
            <v>Infotech</v>
          </cell>
        </row>
        <row r="20">
          <cell r="B20" t="str">
            <v>LIV3</v>
          </cell>
          <cell r="C20" t="str">
            <v>FSAM-2LIV-03</v>
          </cell>
          <cell r="D20" t="str">
            <v>NSW</v>
          </cell>
          <cell r="E20" t="str">
            <v>Sydney Metro</v>
          </cell>
          <cell r="F20" t="str">
            <v>2LIV</v>
          </cell>
          <cell r="G20" t="str">
            <v>Damien Marov West</v>
          </cell>
          <cell r="H20" t="str">
            <v>NSW Sydney West</v>
          </cell>
          <cell r="I20">
            <v>2200</v>
          </cell>
          <cell r="J20" t="str">
            <v>Infotech</v>
          </cell>
        </row>
        <row r="21">
          <cell r="B21" t="str">
            <v>LIV4</v>
          </cell>
          <cell r="C21" t="str">
            <v>FSAM-2LIV-04</v>
          </cell>
          <cell r="D21" t="str">
            <v>NSW</v>
          </cell>
          <cell r="E21" t="str">
            <v>Sydney Metro</v>
          </cell>
          <cell r="F21" t="str">
            <v>2LIV</v>
          </cell>
          <cell r="G21" t="str">
            <v>Damien Marov West</v>
          </cell>
          <cell r="H21" t="str">
            <v>NSW Sydney West</v>
          </cell>
          <cell r="I21">
            <v>3444</v>
          </cell>
          <cell r="J21" t="str">
            <v>Dalys</v>
          </cell>
        </row>
        <row r="22">
          <cell r="B22" t="str">
            <v>PTH7</v>
          </cell>
          <cell r="C22" t="str">
            <v>FSAM-2PTH-07</v>
          </cell>
          <cell r="D22" t="str">
            <v>NSW</v>
          </cell>
          <cell r="E22" t="str">
            <v>Sydney Metro</v>
          </cell>
          <cell r="F22" t="str">
            <v>2PTH</v>
          </cell>
          <cell r="G22" t="str">
            <v>Damien Marov West</v>
          </cell>
          <cell r="H22" t="str">
            <v>NSW Sydney West</v>
          </cell>
          <cell r="I22">
            <v>2200</v>
          </cell>
          <cell r="J22" t="str">
            <v>Infotech</v>
          </cell>
        </row>
        <row r="23">
          <cell r="B23" t="str">
            <v>PTH8</v>
          </cell>
          <cell r="C23" t="str">
            <v>FSAM-2PTH-08</v>
          </cell>
          <cell r="D23" t="str">
            <v>NSW</v>
          </cell>
          <cell r="E23" t="str">
            <v>Sydney Metro</v>
          </cell>
          <cell r="F23" t="str">
            <v>2PTH</v>
          </cell>
          <cell r="G23" t="str">
            <v>Damien Marov West</v>
          </cell>
          <cell r="H23" t="str">
            <v>NSW Sydney West</v>
          </cell>
          <cell r="I23">
            <v>2200</v>
          </cell>
          <cell r="J23" t="str">
            <v>Infotech</v>
          </cell>
        </row>
        <row r="24">
          <cell r="B24" t="str">
            <v>RCH7</v>
          </cell>
          <cell r="C24" t="str">
            <v>FSAM-2RCH-07</v>
          </cell>
          <cell r="D24" t="str">
            <v>NSW</v>
          </cell>
          <cell r="E24" t="str">
            <v>Sydney Metro</v>
          </cell>
          <cell r="F24" t="str">
            <v>2RCH</v>
          </cell>
          <cell r="G24" t="str">
            <v>Damien Marov West</v>
          </cell>
          <cell r="H24" t="str">
            <v>NSW Sydney West</v>
          </cell>
          <cell r="I24">
            <v>2200</v>
          </cell>
        </row>
        <row r="25">
          <cell r="B25" t="str">
            <v>GRN2</v>
          </cell>
          <cell r="C25" t="str">
            <v>FSAM-2GRN-02</v>
          </cell>
          <cell r="D25" t="str">
            <v>NSW</v>
          </cell>
          <cell r="E25" t="str">
            <v>NSW North</v>
          </cell>
          <cell r="F25" t="str">
            <v>2GRN</v>
          </cell>
          <cell r="G25" t="str">
            <v>James Herden</v>
          </cell>
          <cell r="H25" t="str">
            <v>NSW North</v>
          </cell>
          <cell r="I25">
            <v>2200</v>
          </cell>
          <cell r="J25" t="str">
            <v>Infotech</v>
          </cell>
        </row>
        <row r="26">
          <cell r="B26" t="str">
            <v>MAI1</v>
          </cell>
          <cell r="C26" t="str">
            <v>FSAM-2MAI-01</v>
          </cell>
          <cell r="D26" t="str">
            <v>NSW</v>
          </cell>
          <cell r="E26" t="str">
            <v>NSW North</v>
          </cell>
          <cell r="F26" t="str">
            <v>2MAI</v>
          </cell>
          <cell r="G26" t="str">
            <v>James Herden</v>
          </cell>
          <cell r="H26" t="str">
            <v>NSW North</v>
          </cell>
          <cell r="I26">
            <v>2200</v>
          </cell>
        </row>
        <row r="27">
          <cell r="B27" t="str">
            <v>MAI2</v>
          </cell>
          <cell r="C27" t="str">
            <v>FSAM-2MAI-02</v>
          </cell>
          <cell r="D27" t="str">
            <v>NSW</v>
          </cell>
          <cell r="E27" t="str">
            <v>NSW North</v>
          </cell>
          <cell r="F27" t="str">
            <v>2MAI</v>
          </cell>
          <cell r="G27" t="str">
            <v>James Herden</v>
          </cell>
          <cell r="H27" t="str">
            <v>NSW North</v>
          </cell>
          <cell r="I27">
            <v>2200</v>
          </cell>
        </row>
        <row r="28">
          <cell r="B28" t="str">
            <v>MAI3</v>
          </cell>
          <cell r="C28" t="str">
            <v>FSAM-2MAI-03</v>
          </cell>
          <cell r="D28" t="str">
            <v>NSW</v>
          </cell>
          <cell r="E28" t="str">
            <v>NSW North</v>
          </cell>
          <cell r="F28" t="str">
            <v>2MAI</v>
          </cell>
          <cell r="G28" t="str">
            <v>James Herden</v>
          </cell>
          <cell r="H28" t="str">
            <v>NSW North</v>
          </cell>
          <cell r="I28">
            <v>2238</v>
          </cell>
          <cell r="J28" t="str">
            <v>Infotech</v>
          </cell>
        </row>
        <row r="29">
          <cell r="B29" t="str">
            <v>MAI4</v>
          </cell>
          <cell r="C29" t="str">
            <v>FSAM-2MAI-04</v>
          </cell>
          <cell r="D29" t="str">
            <v>NSW</v>
          </cell>
          <cell r="E29" t="str">
            <v>NSW North</v>
          </cell>
          <cell r="F29" t="str">
            <v>2MAI</v>
          </cell>
          <cell r="G29" t="str">
            <v>James Herden</v>
          </cell>
          <cell r="H29" t="str">
            <v>NSW North</v>
          </cell>
          <cell r="I29">
            <v>2200</v>
          </cell>
        </row>
        <row r="30">
          <cell r="B30" t="str">
            <v>MAI5</v>
          </cell>
          <cell r="C30" t="str">
            <v>FSAM-2MAI-05</v>
          </cell>
          <cell r="D30" t="str">
            <v>NSW</v>
          </cell>
          <cell r="E30" t="str">
            <v>NSW North</v>
          </cell>
          <cell r="F30" t="str">
            <v>2MAI</v>
          </cell>
          <cell r="G30" t="str">
            <v>James Herden</v>
          </cell>
          <cell r="H30" t="str">
            <v>NSW North</v>
          </cell>
          <cell r="I30">
            <v>2200</v>
          </cell>
        </row>
        <row r="31">
          <cell r="B31" t="str">
            <v>MAI6</v>
          </cell>
          <cell r="C31" t="str">
            <v>FSAM-2MAI-06</v>
          </cell>
          <cell r="D31" t="str">
            <v>NSW</v>
          </cell>
          <cell r="E31" t="str">
            <v>NSW North</v>
          </cell>
          <cell r="F31" t="str">
            <v>2MAI</v>
          </cell>
          <cell r="G31" t="str">
            <v>James Herden</v>
          </cell>
          <cell r="H31" t="str">
            <v>NSW North</v>
          </cell>
          <cell r="I31">
            <v>2200</v>
          </cell>
        </row>
        <row r="32">
          <cell r="B32" t="str">
            <v>MAI7</v>
          </cell>
          <cell r="C32" t="str">
            <v>FSAM-2MAI-07</v>
          </cell>
          <cell r="D32" t="str">
            <v>NSW</v>
          </cell>
          <cell r="E32" t="str">
            <v>NSW North</v>
          </cell>
          <cell r="F32" t="str">
            <v>2MAI</v>
          </cell>
          <cell r="G32" t="str">
            <v>James Herden</v>
          </cell>
          <cell r="H32" t="str">
            <v>NSW North</v>
          </cell>
          <cell r="I32">
            <v>2441</v>
          </cell>
          <cell r="J32" t="str">
            <v>Dalys</v>
          </cell>
        </row>
        <row r="33">
          <cell r="B33" t="str">
            <v>MAI8</v>
          </cell>
          <cell r="C33" t="str">
            <v>FSAM-2MAI-08</v>
          </cell>
          <cell r="D33" t="str">
            <v>NSW</v>
          </cell>
          <cell r="E33" t="str">
            <v>NSW North</v>
          </cell>
          <cell r="F33" t="str">
            <v>2MAI</v>
          </cell>
          <cell r="G33" t="str">
            <v>James Herden</v>
          </cell>
          <cell r="H33" t="str">
            <v>NSW North</v>
          </cell>
          <cell r="I33">
            <v>2200</v>
          </cell>
        </row>
        <row r="34">
          <cell r="B34" t="str">
            <v>MAI9</v>
          </cell>
          <cell r="C34" t="str">
            <v>FSAM-2MAI-09</v>
          </cell>
          <cell r="D34" t="str">
            <v>NSW</v>
          </cell>
          <cell r="E34" t="str">
            <v>NSW North</v>
          </cell>
          <cell r="F34" t="str">
            <v>2MAI</v>
          </cell>
          <cell r="G34" t="str">
            <v>James Herden</v>
          </cell>
          <cell r="H34" t="str">
            <v>NSW North</v>
          </cell>
          <cell r="I34">
            <v>2200</v>
          </cell>
        </row>
        <row r="35">
          <cell r="B35" t="str">
            <v>MAI10</v>
          </cell>
          <cell r="C35" t="str">
            <v>FSAM-2MAI-10</v>
          </cell>
          <cell r="D35" t="str">
            <v>NSW</v>
          </cell>
          <cell r="E35" t="str">
            <v>NSW North</v>
          </cell>
          <cell r="F35" t="str">
            <v>2MAI</v>
          </cell>
          <cell r="G35" t="str">
            <v>James Herden</v>
          </cell>
          <cell r="H35" t="str">
            <v>NSW North</v>
          </cell>
          <cell r="I35">
            <v>2200</v>
          </cell>
        </row>
        <row r="36">
          <cell r="B36" t="str">
            <v>MAI11</v>
          </cell>
          <cell r="C36" t="str">
            <v>FSAM-2MAI-11</v>
          </cell>
          <cell r="D36" t="str">
            <v>NSW</v>
          </cell>
          <cell r="E36" t="str">
            <v>NSW North</v>
          </cell>
          <cell r="F36" t="str">
            <v>2MAI</v>
          </cell>
          <cell r="G36" t="str">
            <v>James Herden</v>
          </cell>
          <cell r="H36" t="str">
            <v>NSW North</v>
          </cell>
          <cell r="I36">
            <v>2465</v>
          </cell>
          <cell r="J36" t="str">
            <v>Apex</v>
          </cell>
        </row>
        <row r="37">
          <cell r="B37" t="str">
            <v>MDG1</v>
          </cell>
          <cell r="C37" t="str">
            <v>FSAM-2MDG-01</v>
          </cell>
          <cell r="D37" t="str">
            <v>NSW</v>
          </cell>
          <cell r="E37" t="str">
            <v>NSW North</v>
          </cell>
          <cell r="F37" t="str">
            <v>2MDG</v>
          </cell>
          <cell r="G37" t="str">
            <v>James Herden</v>
          </cell>
          <cell r="H37" t="str">
            <v>NSW North</v>
          </cell>
          <cell r="I37">
            <v>2200</v>
          </cell>
          <cell r="J37" t="str">
            <v>Dalys</v>
          </cell>
        </row>
        <row r="38">
          <cell r="B38" t="str">
            <v>MDG2</v>
          </cell>
          <cell r="C38" t="str">
            <v>FSAM-2MDG-02</v>
          </cell>
          <cell r="D38" t="str">
            <v>NSW</v>
          </cell>
          <cell r="E38" t="str">
            <v>NSW North</v>
          </cell>
          <cell r="F38" t="str">
            <v>2MDG</v>
          </cell>
          <cell r="G38" t="str">
            <v>James Herden</v>
          </cell>
          <cell r="H38" t="str">
            <v>NSW North</v>
          </cell>
          <cell r="I38">
            <v>2200</v>
          </cell>
          <cell r="J38" t="str">
            <v>Dalys</v>
          </cell>
        </row>
        <row r="39">
          <cell r="B39" t="str">
            <v>MDG3</v>
          </cell>
          <cell r="C39" t="str">
            <v>FSAM-2MDG-03</v>
          </cell>
          <cell r="D39" t="str">
            <v>NSW</v>
          </cell>
          <cell r="E39" t="str">
            <v>NSW North</v>
          </cell>
          <cell r="F39" t="str">
            <v>2MDG</v>
          </cell>
          <cell r="G39" t="str">
            <v>James Herden</v>
          </cell>
          <cell r="H39" t="str">
            <v>NSW North</v>
          </cell>
          <cell r="I39">
            <v>2200</v>
          </cell>
          <cell r="J39" t="str">
            <v>Dalys</v>
          </cell>
        </row>
        <row r="40">
          <cell r="B40" t="str">
            <v>TEE1</v>
          </cell>
          <cell r="C40" t="str">
            <v>FSAM-2TEE-01</v>
          </cell>
          <cell r="D40" t="str">
            <v>NSW</v>
          </cell>
          <cell r="E40" t="str">
            <v>NSW North</v>
          </cell>
          <cell r="F40" t="str">
            <v>2TEE</v>
          </cell>
          <cell r="G40" t="str">
            <v>James Herden</v>
          </cell>
          <cell r="H40" t="str">
            <v>NSW North</v>
          </cell>
          <cell r="I40">
            <v>2200</v>
          </cell>
          <cell r="J40" t="str">
            <v>NBN</v>
          </cell>
        </row>
        <row r="41">
          <cell r="B41" t="str">
            <v>TEE3</v>
          </cell>
          <cell r="C41" t="str">
            <v>FSAM-2TEE-03</v>
          </cell>
          <cell r="D41" t="str">
            <v>NSW</v>
          </cell>
          <cell r="E41" t="str">
            <v>NSW North</v>
          </cell>
          <cell r="F41" t="str">
            <v>2TEE</v>
          </cell>
          <cell r="G41" t="str">
            <v>James Herden</v>
          </cell>
          <cell r="H41" t="str">
            <v>NSW North</v>
          </cell>
          <cell r="I41">
            <v>1690</v>
          </cell>
          <cell r="J41" t="str">
            <v>Dalys</v>
          </cell>
        </row>
        <row r="42">
          <cell r="B42" t="str">
            <v>TEE5</v>
          </cell>
          <cell r="C42" t="str">
            <v>FSAM-2TEE-05</v>
          </cell>
          <cell r="D42" t="str">
            <v>NSW</v>
          </cell>
          <cell r="E42" t="str">
            <v>NSW North</v>
          </cell>
          <cell r="F42" t="str">
            <v>2TEE</v>
          </cell>
          <cell r="G42" t="str">
            <v>James Herden</v>
          </cell>
          <cell r="H42" t="str">
            <v>NSW North</v>
          </cell>
          <cell r="I42">
            <v>2200</v>
          </cell>
          <cell r="J42" t="str">
            <v>Apex</v>
          </cell>
        </row>
        <row r="43">
          <cell r="B43" t="str">
            <v>SAWT</v>
          </cell>
          <cell r="D43" t="str">
            <v>NSW</v>
          </cell>
          <cell r="E43" t="str">
            <v>NSW North</v>
          </cell>
          <cell r="F43" t="str">
            <v>2SAW</v>
          </cell>
          <cell r="G43" t="str">
            <v>James Herden</v>
          </cell>
          <cell r="H43" t="str">
            <v>NSW North</v>
          </cell>
          <cell r="I43">
            <v>0</v>
          </cell>
        </row>
        <row r="44">
          <cell r="B44" t="str">
            <v>IPS1</v>
          </cell>
          <cell r="C44" t="str">
            <v>FSAM-4IPS-01</v>
          </cell>
          <cell r="D44" t="str">
            <v>QLD</v>
          </cell>
          <cell r="E44" t="str">
            <v>Brisbane Metro</v>
          </cell>
          <cell r="F44" t="str">
            <v>4IPS</v>
          </cell>
          <cell r="G44" t="str">
            <v>Jonathan Cogan</v>
          </cell>
          <cell r="H44" t="str">
            <v>QLD South</v>
          </cell>
          <cell r="I44">
            <v>2200</v>
          </cell>
          <cell r="J44" t="str">
            <v>STSJV</v>
          </cell>
        </row>
        <row r="45">
          <cell r="B45" t="str">
            <v>IPS3</v>
          </cell>
          <cell r="C45" t="str">
            <v>FSAM-4IPS-03</v>
          </cell>
          <cell r="D45" t="str">
            <v>QLD</v>
          </cell>
          <cell r="E45" t="str">
            <v>Brisbane Metro</v>
          </cell>
          <cell r="F45" t="str">
            <v>4IPS</v>
          </cell>
          <cell r="G45" t="str">
            <v>Jonathan Cogan</v>
          </cell>
          <cell r="H45" t="str">
            <v>QLD South</v>
          </cell>
          <cell r="I45">
            <v>2200</v>
          </cell>
          <cell r="J45" t="str">
            <v>STSJV</v>
          </cell>
        </row>
        <row r="46">
          <cell r="B46" t="str">
            <v>IPS5</v>
          </cell>
          <cell r="C46" t="str">
            <v>FSAM-4IPS-05</v>
          </cell>
          <cell r="D46" t="str">
            <v>QLD</v>
          </cell>
          <cell r="E46" t="str">
            <v>Brisbane Metro</v>
          </cell>
          <cell r="F46" t="str">
            <v>4IPS</v>
          </cell>
          <cell r="G46" t="str">
            <v>Jonathan Cogan</v>
          </cell>
          <cell r="H46" t="str">
            <v>QLD South</v>
          </cell>
          <cell r="I46">
            <v>2200</v>
          </cell>
          <cell r="J46" t="str">
            <v>STSJV</v>
          </cell>
        </row>
        <row r="47">
          <cell r="B47" t="str">
            <v>IPS6</v>
          </cell>
          <cell r="C47" t="str">
            <v>FSAM-4IPS-06</v>
          </cell>
          <cell r="D47" t="str">
            <v>QLD</v>
          </cell>
          <cell r="E47" t="str">
            <v>Brisbane Metro</v>
          </cell>
          <cell r="F47" t="str">
            <v>4IPS</v>
          </cell>
          <cell r="G47" t="str">
            <v>Jonathan Cogan</v>
          </cell>
          <cell r="H47" t="str">
            <v>QLD South</v>
          </cell>
          <cell r="I47">
            <v>2200</v>
          </cell>
          <cell r="J47" t="str">
            <v>STSJV</v>
          </cell>
        </row>
        <row r="48">
          <cell r="B48" t="str">
            <v>IPS7</v>
          </cell>
          <cell r="C48" t="str">
            <v>FSAM-4IPS-07</v>
          </cell>
          <cell r="D48" t="str">
            <v>QLD</v>
          </cell>
          <cell r="E48" t="str">
            <v>Brisbane Metro</v>
          </cell>
          <cell r="F48" t="str">
            <v>4IPS</v>
          </cell>
          <cell r="G48" t="str">
            <v>Jonathan Cogan</v>
          </cell>
          <cell r="H48" t="str">
            <v>QLD South</v>
          </cell>
          <cell r="I48">
            <v>2200</v>
          </cell>
          <cell r="J48" t="str">
            <v>STSJV</v>
          </cell>
        </row>
        <row r="49">
          <cell r="B49" t="str">
            <v>IPS8</v>
          </cell>
          <cell r="C49" t="str">
            <v>FSAM-4IPS-08</v>
          </cell>
          <cell r="D49" t="str">
            <v>QLD</v>
          </cell>
          <cell r="E49" t="str">
            <v>Brisbane Metro</v>
          </cell>
          <cell r="F49" t="str">
            <v>4IPS</v>
          </cell>
          <cell r="G49" t="str">
            <v>Jonathan Cogan</v>
          </cell>
          <cell r="H49" t="str">
            <v>QLD South</v>
          </cell>
          <cell r="I49">
            <v>2200</v>
          </cell>
          <cell r="J49" t="str">
            <v>JEL</v>
          </cell>
        </row>
        <row r="50">
          <cell r="B50" t="str">
            <v>FRV2</v>
          </cell>
          <cell r="C50" t="str">
            <v>FSAM-4FRV-02</v>
          </cell>
          <cell r="D50" t="str">
            <v>QLD</v>
          </cell>
          <cell r="E50" t="str">
            <v>QLD South</v>
          </cell>
          <cell r="F50" t="str">
            <v>4FRV</v>
          </cell>
          <cell r="G50" t="str">
            <v>Jonathan Cogan</v>
          </cell>
          <cell r="H50" t="str">
            <v>QLD South</v>
          </cell>
          <cell r="I50">
            <v>2200</v>
          </cell>
        </row>
        <row r="51">
          <cell r="B51" t="str">
            <v>TOB10</v>
          </cell>
          <cell r="C51" t="str">
            <v>FSAM-4TOB-10</v>
          </cell>
          <cell r="D51" t="str">
            <v>QLD</v>
          </cell>
          <cell r="E51" t="str">
            <v>QLD South</v>
          </cell>
          <cell r="F51" t="str">
            <v>4TOB</v>
          </cell>
          <cell r="G51" t="str">
            <v>Jonathan Cogan</v>
          </cell>
          <cell r="H51" t="str">
            <v>QLD South</v>
          </cell>
          <cell r="I51">
            <v>2200</v>
          </cell>
        </row>
        <row r="52">
          <cell r="B52" t="str">
            <v>APL5</v>
          </cell>
          <cell r="C52" t="str">
            <v>FSAM-4APL-05</v>
          </cell>
          <cell r="D52" t="str">
            <v>QLD</v>
          </cell>
          <cell r="E52" t="str">
            <v>Brisbane Metro</v>
          </cell>
          <cell r="F52" t="str">
            <v>4APL</v>
          </cell>
          <cell r="G52" t="str">
            <v>Jonathan Cogan</v>
          </cell>
          <cell r="H52" t="str">
            <v>QLD Metro</v>
          </cell>
          <cell r="I52">
            <v>2200</v>
          </cell>
          <cell r="J52" t="str">
            <v>JEL</v>
          </cell>
        </row>
        <row r="53">
          <cell r="B53" t="str">
            <v>APL6</v>
          </cell>
          <cell r="C53" t="str">
            <v>FSAM-4APL-06</v>
          </cell>
          <cell r="D53" t="str">
            <v>QLD</v>
          </cell>
          <cell r="E53" t="str">
            <v>Brisbane Metro</v>
          </cell>
          <cell r="F53" t="str">
            <v>4APL</v>
          </cell>
          <cell r="G53" t="str">
            <v>Jonathan Cogan</v>
          </cell>
          <cell r="H53" t="str">
            <v>QLD Metro</v>
          </cell>
          <cell r="I53">
            <v>2200</v>
          </cell>
          <cell r="J53" t="str">
            <v>Infotech</v>
          </cell>
        </row>
        <row r="54">
          <cell r="B54" t="str">
            <v>APL7</v>
          </cell>
          <cell r="C54" t="str">
            <v>FSAM-4APL-07</v>
          </cell>
          <cell r="D54" t="str">
            <v>QLD</v>
          </cell>
          <cell r="E54" t="str">
            <v>Brisbane Metro</v>
          </cell>
          <cell r="F54" t="str">
            <v>4APL</v>
          </cell>
          <cell r="G54" t="str">
            <v>Jonathan Cogan</v>
          </cell>
          <cell r="H54" t="str">
            <v>QLD Metro</v>
          </cell>
          <cell r="I54">
            <v>2200</v>
          </cell>
          <cell r="J54"/>
        </row>
        <row r="55">
          <cell r="B55" t="str">
            <v>APL8</v>
          </cell>
          <cell r="C55" t="str">
            <v>FSAM-4APL-08</v>
          </cell>
          <cell r="D55" t="str">
            <v>QLD</v>
          </cell>
          <cell r="E55" t="str">
            <v>Brisbane Metro</v>
          </cell>
          <cell r="F55" t="str">
            <v>4APL</v>
          </cell>
          <cell r="G55" t="str">
            <v>Jonathan Cogan</v>
          </cell>
          <cell r="H55" t="str">
            <v>QLD Metro</v>
          </cell>
          <cell r="I55">
            <v>2200</v>
          </cell>
          <cell r="J55"/>
        </row>
        <row r="56">
          <cell r="B56" t="str">
            <v>APL9</v>
          </cell>
          <cell r="C56" t="str">
            <v>FSAM-4APL-09</v>
          </cell>
          <cell r="D56" t="str">
            <v>QLD</v>
          </cell>
          <cell r="E56" t="str">
            <v>Brisbane Metro</v>
          </cell>
          <cell r="F56" t="str">
            <v>4APL</v>
          </cell>
          <cell r="G56" t="str">
            <v>Jonathan Cogan</v>
          </cell>
          <cell r="H56" t="str">
            <v>QLD Metro</v>
          </cell>
          <cell r="I56">
            <v>2200</v>
          </cell>
          <cell r="J56"/>
        </row>
        <row r="57">
          <cell r="B57" t="str">
            <v>ASH1</v>
          </cell>
          <cell r="C57" t="str">
            <v>FSAM-4ASH-01</v>
          </cell>
          <cell r="D57" t="str">
            <v>QLD</v>
          </cell>
          <cell r="E57" t="str">
            <v>Brisbane Metro</v>
          </cell>
          <cell r="F57" t="str">
            <v>4ASH</v>
          </cell>
          <cell r="G57" t="str">
            <v>Jonathan Cogan</v>
          </cell>
          <cell r="H57" t="str">
            <v>QLD Metro</v>
          </cell>
          <cell r="I57">
            <v>2200</v>
          </cell>
          <cell r="J57" t="str">
            <v>JEL</v>
          </cell>
        </row>
        <row r="58">
          <cell r="B58" t="str">
            <v>ASH2</v>
          </cell>
          <cell r="C58" t="str">
            <v>FSAM-4ASH-02</v>
          </cell>
          <cell r="D58" t="str">
            <v>QLD</v>
          </cell>
          <cell r="E58" t="str">
            <v>Brisbane Metro</v>
          </cell>
          <cell r="F58" t="str">
            <v>4ASH</v>
          </cell>
          <cell r="G58" t="str">
            <v>Jonathan Cogan</v>
          </cell>
          <cell r="H58" t="str">
            <v>QLD Metro</v>
          </cell>
          <cell r="I58">
            <v>2200</v>
          </cell>
          <cell r="J58" t="str">
            <v>STSJV</v>
          </cell>
        </row>
        <row r="59">
          <cell r="B59" t="str">
            <v>ASH4</v>
          </cell>
          <cell r="C59" t="str">
            <v>FSAM-4ASH-04</v>
          </cell>
          <cell r="D59" t="str">
            <v>QLD</v>
          </cell>
          <cell r="E59" t="str">
            <v>Brisbane Metro</v>
          </cell>
          <cell r="F59" t="str">
            <v>4ASH</v>
          </cell>
          <cell r="G59" t="str">
            <v>Jonathan Cogan</v>
          </cell>
          <cell r="H59" t="str">
            <v>QLD Metro</v>
          </cell>
          <cell r="I59">
            <v>2200</v>
          </cell>
        </row>
        <row r="60">
          <cell r="B60" t="str">
            <v>BDB3</v>
          </cell>
          <cell r="C60" t="str">
            <v>FSAM-4BDB-03</v>
          </cell>
          <cell r="D60" t="str">
            <v>QLD</v>
          </cell>
          <cell r="E60" t="str">
            <v>Brisbane Metro</v>
          </cell>
          <cell r="F60" t="str">
            <v>4BDB</v>
          </cell>
          <cell r="G60" t="str">
            <v>Jonathan Cogan</v>
          </cell>
          <cell r="H60" t="str">
            <v>QLD Metro</v>
          </cell>
          <cell r="I60">
            <v>2200</v>
          </cell>
        </row>
        <row r="61">
          <cell r="B61" t="str">
            <v>BDB4</v>
          </cell>
          <cell r="C61" t="str">
            <v>FSAM-4BDB-04</v>
          </cell>
          <cell r="D61" t="str">
            <v>QLD</v>
          </cell>
          <cell r="E61" t="str">
            <v>Brisbane Metro</v>
          </cell>
          <cell r="F61" t="str">
            <v>4BDB</v>
          </cell>
          <cell r="G61" t="str">
            <v>Jonathan Cogan</v>
          </cell>
          <cell r="H61" t="str">
            <v>QLD Metro</v>
          </cell>
          <cell r="I61">
            <v>2200</v>
          </cell>
          <cell r="J61" t="str">
            <v>STSJV</v>
          </cell>
        </row>
        <row r="62">
          <cell r="B62" t="str">
            <v>GDN7</v>
          </cell>
          <cell r="C62" t="str">
            <v>FSAM-4GDN-07</v>
          </cell>
          <cell r="D62" t="str">
            <v>QLD</v>
          </cell>
          <cell r="E62" t="str">
            <v>Brisbane Metro</v>
          </cell>
          <cell r="F62" t="str">
            <v>4GDN</v>
          </cell>
          <cell r="G62" t="str">
            <v>Jonathan Cogan</v>
          </cell>
          <cell r="H62" t="str">
            <v>QLD Metro</v>
          </cell>
          <cell r="I62">
            <v>2200</v>
          </cell>
          <cell r="J62" t="str">
            <v>Infotech</v>
          </cell>
        </row>
        <row r="63">
          <cell r="B63" t="str">
            <v>GDN8</v>
          </cell>
          <cell r="C63" t="str">
            <v>FSAM-4GDN-08</v>
          </cell>
          <cell r="D63" t="str">
            <v>QLD</v>
          </cell>
          <cell r="E63" t="str">
            <v>Brisbane Metro</v>
          </cell>
          <cell r="F63" t="str">
            <v>4GDN</v>
          </cell>
          <cell r="G63" t="str">
            <v>Jonathan Cogan</v>
          </cell>
          <cell r="H63" t="str">
            <v>QLD Metro</v>
          </cell>
          <cell r="I63">
            <v>2200</v>
          </cell>
          <cell r="J63" t="str">
            <v>Infotech</v>
          </cell>
        </row>
        <row r="64">
          <cell r="B64" t="str">
            <v>GDN9</v>
          </cell>
          <cell r="C64" t="str">
            <v>FSAM-4GDN-09</v>
          </cell>
          <cell r="D64" t="str">
            <v>QLD</v>
          </cell>
          <cell r="E64" t="str">
            <v>Brisbane Metro</v>
          </cell>
          <cell r="F64" t="str">
            <v>4GDN</v>
          </cell>
          <cell r="G64" t="str">
            <v>Jonathan Cogan</v>
          </cell>
          <cell r="H64" t="str">
            <v>QLD Metro</v>
          </cell>
          <cell r="I64">
            <v>2200</v>
          </cell>
        </row>
        <row r="65">
          <cell r="B65" t="str">
            <v>KLG5</v>
          </cell>
          <cell r="C65" t="str">
            <v>FSAM-4KLG-05</v>
          </cell>
          <cell r="D65" t="str">
            <v>QLD</v>
          </cell>
          <cell r="E65" t="str">
            <v>Brisbane Metro</v>
          </cell>
          <cell r="F65" t="str">
            <v>4KLG</v>
          </cell>
          <cell r="G65" t="str">
            <v>Jonathan Cogan</v>
          </cell>
          <cell r="H65" t="str">
            <v>QLD Metro</v>
          </cell>
          <cell r="I65">
            <v>2200</v>
          </cell>
        </row>
        <row r="66">
          <cell r="B66" t="str">
            <v>KLG6</v>
          </cell>
          <cell r="C66" t="str">
            <v>FSAM-4KLG-06</v>
          </cell>
          <cell r="D66" t="str">
            <v>QLD</v>
          </cell>
          <cell r="E66" t="str">
            <v>Brisbane Metro</v>
          </cell>
          <cell r="F66" t="str">
            <v>4KLG</v>
          </cell>
          <cell r="G66" t="str">
            <v>Jonathan Cogan</v>
          </cell>
          <cell r="H66" t="str">
            <v>QLD Metro</v>
          </cell>
          <cell r="I66">
            <v>2200</v>
          </cell>
        </row>
        <row r="67">
          <cell r="B67" t="str">
            <v>KLG7</v>
          </cell>
          <cell r="C67" t="str">
            <v>FSAM-4KLG-07</v>
          </cell>
          <cell r="D67" t="str">
            <v>QLD</v>
          </cell>
          <cell r="E67" t="str">
            <v>Brisbane Metro</v>
          </cell>
          <cell r="F67" t="str">
            <v>4KLG</v>
          </cell>
          <cell r="G67" t="str">
            <v>Jonathan Cogan</v>
          </cell>
          <cell r="H67" t="str">
            <v>QLD Metro</v>
          </cell>
          <cell r="I67">
            <v>2200</v>
          </cell>
          <cell r="J67" t="str">
            <v>JEL</v>
          </cell>
        </row>
        <row r="68">
          <cell r="B68" t="str">
            <v>NDG4</v>
          </cell>
          <cell r="C68" t="str">
            <v>FSAM-4NDG-04</v>
          </cell>
          <cell r="D68" t="str">
            <v>QLD</v>
          </cell>
          <cell r="E68" t="str">
            <v>Brisbane Metro</v>
          </cell>
          <cell r="F68" t="str">
            <v>4NDG</v>
          </cell>
          <cell r="G68" t="str">
            <v>Jonathan Cogan</v>
          </cell>
          <cell r="H68" t="str">
            <v>QLD Metro</v>
          </cell>
          <cell r="I68">
            <v>2200</v>
          </cell>
          <cell r="J68" t="str">
            <v>JEL</v>
          </cell>
        </row>
        <row r="69">
          <cell r="B69" t="str">
            <v>NDG5</v>
          </cell>
          <cell r="C69" t="str">
            <v>FSAM-4NDG-05</v>
          </cell>
          <cell r="D69" t="str">
            <v>QLD</v>
          </cell>
          <cell r="E69" t="str">
            <v>Brisbane Metro</v>
          </cell>
          <cell r="F69" t="str">
            <v>4NDG</v>
          </cell>
          <cell r="G69" t="str">
            <v>Jonathan Cogan</v>
          </cell>
          <cell r="H69" t="str">
            <v>QLD Metro</v>
          </cell>
          <cell r="I69">
            <v>2200</v>
          </cell>
        </row>
        <row r="70">
          <cell r="B70" t="str">
            <v>NDG6</v>
          </cell>
          <cell r="C70" t="str">
            <v>FSAM-4NDG-06</v>
          </cell>
          <cell r="D70" t="str">
            <v>QLD</v>
          </cell>
          <cell r="E70" t="str">
            <v>Brisbane Metro</v>
          </cell>
          <cell r="F70" t="str">
            <v>4NDG</v>
          </cell>
          <cell r="G70" t="str">
            <v>Jonathan Cogan</v>
          </cell>
          <cell r="H70" t="str">
            <v>QLD Metro</v>
          </cell>
          <cell r="I70">
            <v>2200</v>
          </cell>
        </row>
        <row r="71">
          <cell r="B71" t="str">
            <v>SGI1</v>
          </cell>
          <cell r="C71" t="str">
            <v>FSAM-4SGI-01</v>
          </cell>
          <cell r="D71" t="str">
            <v>QLD</v>
          </cell>
          <cell r="E71" t="str">
            <v>Brisbane Metro</v>
          </cell>
          <cell r="F71" t="str">
            <v>4SGI</v>
          </cell>
          <cell r="G71" t="str">
            <v>Jonathan Cogan</v>
          </cell>
          <cell r="H71" t="str">
            <v>QLD Metro</v>
          </cell>
          <cell r="I71">
            <v>2200</v>
          </cell>
          <cell r="J71" t="str">
            <v>STSJV</v>
          </cell>
        </row>
        <row r="72">
          <cell r="B72" t="str">
            <v>SGI2</v>
          </cell>
          <cell r="C72" t="str">
            <v>FSAM-4SGI-02</v>
          </cell>
          <cell r="D72" t="str">
            <v>QLD</v>
          </cell>
          <cell r="E72" t="str">
            <v>Brisbane Metro</v>
          </cell>
          <cell r="F72" t="str">
            <v>4SGI</v>
          </cell>
          <cell r="G72" t="str">
            <v>Jonathan Cogan</v>
          </cell>
          <cell r="H72" t="str">
            <v>QLD Metro</v>
          </cell>
          <cell r="I72">
            <v>2200</v>
          </cell>
        </row>
        <row r="73">
          <cell r="B73" t="str">
            <v>SGI3</v>
          </cell>
          <cell r="C73" t="str">
            <v>FSAM-4SGI-03</v>
          </cell>
          <cell r="D73" t="str">
            <v>QLD</v>
          </cell>
          <cell r="E73" t="str">
            <v>Brisbane Metro</v>
          </cell>
          <cell r="F73" t="str">
            <v>4SGI</v>
          </cell>
          <cell r="G73" t="str">
            <v>Jonathan Cogan</v>
          </cell>
          <cell r="H73" t="str">
            <v>QLD Metro</v>
          </cell>
          <cell r="I73">
            <v>2200</v>
          </cell>
          <cell r="J73" t="str">
            <v>Infotech</v>
          </cell>
        </row>
        <row r="74">
          <cell r="B74" t="str">
            <v>SGI4</v>
          </cell>
          <cell r="C74" t="str">
            <v>FSAM-4SGI-04</v>
          </cell>
          <cell r="D74" t="str">
            <v>QLD</v>
          </cell>
          <cell r="E74" t="str">
            <v>Brisbane Metro</v>
          </cell>
          <cell r="F74" t="str">
            <v>4SGI</v>
          </cell>
          <cell r="G74" t="str">
            <v>Jonathan Cogan</v>
          </cell>
          <cell r="H74" t="str">
            <v>QLD Metro</v>
          </cell>
          <cell r="I74">
            <v>2200</v>
          </cell>
        </row>
        <row r="75">
          <cell r="B75" t="str">
            <v>SGI5</v>
          </cell>
          <cell r="C75" t="str">
            <v>FSAM-4SGI-05</v>
          </cell>
          <cell r="D75" t="str">
            <v>QLD</v>
          </cell>
          <cell r="E75" t="str">
            <v>Brisbane Metro</v>
          </cell>
          <cell r="F75" t="str">
            <v>4SGI</v>
          </cell>
          <cell r="G75" t="str">
            <v>Jonathan Cogan</v>
          </cell>
          <cell r="H75" t="str">
            <v>QLD Metro</v>
          </cell>
          <cell r="I75">
            <v>2200</v>
          </cell>
        </row>
        <row r="76">
          <cell r="B76" t="str">
            <v>SGI6</v>
          </cell>
          <cell r="C76" t="str">
            <v>FSAM-4SGI-06</v>
          </cell>
          <cell r="D76" t="str">
            <v>QLD</v>
          </cell>
          <cell r="E76" t="str">
            <v>Brisbane Metro</v>
          </cell>
          <cell r="F76" t="str">
            <v>4SGI</v>
          </cell>
          <cell r="G76" t="str">
            <v>Jonathan Cogan</v>
          </cell>
          <cell r="H76" t="str">
            <v>QLD Metro</v>
          </cell>
          <cell r="I76">
            <v>2200</v>
          </cell>
        </row>
        <row r="77">
          <cell r="B77" t="str">
            <v>SLA1</v>
          </cell>
          <cell r="C77" t="str">
            <v>FSAM-4SLA-01</v>
          </cell>
          <cell r="D77" t="str">
            <v>QLD</v>
          </cell>
          <cell r="E77" t="str">
            <v>Brisbane Metro</v>
          </cell>
          <cell r="F77" t="str">
            <v>4SLA</v>
          </cell>
          <cell r="G77" t="str">
            <v>Jonathan Cogan</v>
          </cell>
          <cell r="H77" t="str">
            <v>QLD Metro</v>
          </cell>
          <cell r="I77">
            <v>2200</v>
          </cell>
          <cell r="J77" t="str">
            <v>JEL</v>
          </cell>
        </row>
        <row r="78">
          <cell r="B78" t="str">
            <v>SLA2</v>
          </cell>
          <cell r="C78" t="str">
            <v>FSAM-4SLA-02</v>
          </cell>
          <cell r="D78" t="str">
            <v>QLD</v>
          </cell>
          <cell r="E78" t="str">
            <v>Brisbane Metro</v>
          </cell>
          <cell r="F78" t="str">
            <v>4SLA</v>
          </cell>
          <cell r="G78" t="str">
            <v>Jonathan Cogan</v>
          </cell>
          <cell r="H78" t="str">
            <v>QLD Metro</v>
          </cell>
          <cell r="I78">
            <v>2200</v>
          </cell>
          <cell r="J78" t="str">
            <v>STSJV</v>
          </cell>
        </row>
        <row r="79">
          <cell r="B79" t="str">
            <v>SLA3</v>
          </cell>
          <cell r="C79" t="str">
            <v>FSAM-4SLA-03</v>
          </cell>
          <cell r="D79" t="str">
            <v>QLD</v>
          </cell>
          <cell r="E79" t="str">
            <v>Brisbane Metro</v>
          </cell>
          <cell r="F79" t="str">
            <v>4SLA</v>
          </cell>
          <cell r="G79" t="str">
            <v>Jonathan Cogan</v>
          </cell>
          <cell r="H79" t="str">
            <v>QLD Metro</v>
          </cell>
          <cell r="I79">
            <v>2200</v>
          </cell>
          <cell r="J79" t="str">
            <v>Infotech</v>
          </cell>
        </row>
        <row r="80">
          <cell r="B80" t="str">
            <v>COR4</v>
          </cell>
          <cell r="C80" t="str">
            <v>FSAM-2COR-04</v>
          </cell>
          <cell r="D80" t="str">
            <v>NSW</v>
          </cell>
          <cell r="E80" t="str">
            <v>NSW South</v>
          </cell>
          <cell r="F80" t="str">
            <v>2COR</v>
          </cell>
          <cell r="G80" t="str">
            <v>Damien Marov South</v>
          </cell>
          <cell r="H80" t="str">
            <v>NSW South / ACT</v>
          </cell>
          <cell r="I80">
            <v>2200</v>
          </cell>
          <cell r="J80" t="str">
            <v>Infotech</v>
          </cell>
        </row>
        <row r="81">
          <cell r="B81" t="str">
            <v>COR5</v>
          </cell>
          <cell r="C81" t="str">
            <v>FSAM-2COR-05</v>
          </cell>
          <cell r="D81" t="str">
            <v>NSW</v>
          </cell>
          <cell r="E81" t="str">
            <v>NSW South</v>
          </cell>
          <cell r="F81" t="str">
            <v>2COR</v>
          </cell>
          <cell r="G81" t="str">
            <v>Damien Marov South</v>
          </cell>
          <cell r="H81" t="str">
            <v>NSW South / ACT</v>
          </cell>
          <cell r="I81">
            <v>2200</v>
          </cell>
          <cell r="J81" t="str">
            <v>Dalys</v>
          </cell>
        </row>
        <row r="82">
          <cell r="B82" t="str">
            <v>COR6</v>
          </cell>
          <cell r="C82" t="str">
            <v>FSAM-2COR-06</v>
          </cell>
          <cell r="D82" t="str">
            <v>NSW</v>
          </cell>
          <cell r="E82" t="str">
            <v>NSW South</v>
          </cell>
          <cell r="F82" t="str">
            <v>2COR</v>
          </cell>
          <cell r="G82" t="str">
            <v>Damien Marov South</v>
          </cell>
          <cell r="H82" t="str">
            <v>NSW South / ACT</v>
          </cell>
          <cell r="I82">
            <v>2200</v>
          </cell>
          <cell r="J82" t="str">
            <v>STSJV</v>
          </cell>
        </row>
        <row r="83">
          <cell r="B83" t="str">
            <v>COR7</v>
          </cell>
          <cell r="C83" t="str">
            <v>FSAM-2COR-07</v>
          </cell>
          <cell r="D83" t="str">
            <v>NSW</v>
          </cell>
          <cell r="E83" t="str">
            <v>NSW South</v>
          </cell>
          <cell r="F83" t="str">
            <v>2COR</v>
          </cell>
          <cell r="G83" t="str">
            <v>Damien Marov South</v>
          </cell>
          <cell r="H83" t="str">
            <v>NSW South / ACT</v>
          </cell>
          <cell r="I83">
            <v>2200</v>
          </cell>
          <cell r="J83" t="str">
            <v>Dalys</v>
          </cell>
        </row>
        <row r="84">
          <cell r="B84" t="str">
            <v>COR8</v>
          </cell>
          <cell r="C84" t="str">
            <v>FSAM-2COR-08</v>
          </cell>
          <cell r="D84" t="str">
            <v>NSW</v>
          </cell>
          <cell r="E84" t="str">
            <v>NSW South</v>
          </cell>
          <cell r="F84" t="str">
            <v>2COR</v>
          </cell>
          <cell r="G84" t="str">
            <v>Damien Marov South</v>
          </cell>
          <cell r="H84" t="str">
            <v>NSW South / ACT</v>
          </cell>
          <cell r="I84">
            <v>2200</v>
          </cell>
          <cell r="J84" t="str">
            <v>Infotech</v>
          </cell>
        </row>
        <row r="85">
          <cell r="B85" t="str">
            <v>COR9</v>
          </cell>
          <cell r="C85" t="str">
            <v>FSAM-2COR-09</v>
          </cell>
          <cell r="D85" t="str">
            <v>NSW</v>
          </cell>
          <cell r="E85" t="str">
            <v>NSW South</v>
          </cell>
          <cell r="F85" t="str">
            <v>2COR</v>
          </cell>
          <cell r="G85" t="str">
            <v>Damien Marov South</v>
          </cell>
          <cell r="H85" t="str">
            <v>NSW South / ACT</v>
          </cell>
          <cell r="I85">
            <v>2200</v>
          </cell>
        </row>
        <row r="86">
          <cell r="B86" t="str">
            <v>COR10</v>
          </cell>
          <cell r="C86" t="str">
            <v>FSAM-2COR-10</v>
          </cell>
          <cell r="D86" t="str">
            <v>NSW</v>
          </cell>
          <cell r="E86" t="str">
            <v>NSW South</v>
          </cell>
          <cell r="F86" t="str">
            <v>2COR</v>
          </cell>
          <cell r="G86" t="str">
            <v>Damien Marov South</v>
          </cell>
          <cell r="H86" t="str">
            <v>NSW South / ACT</v>
          </cell>
          <cell r="I86">
            <v>2200</v>
          </cell>
        </row>
        <row r="87">
          <cell r="B87" t="str">
            <v>COR11</v>
          </cell>
          <cell r="C87" t="str">
            <v>FSAM-2COR-11</v>
          </cell>
          <cell r="D87" t="str">
            <v>NSW</v>
          </cell>
          <cell r="E87" t="str">
            <v>NSW South</v>
          </cell>
          <cell r="F87" t="str">
            <v>2COR</v>
          </cell>
          <cell r="G87" t="str">
            <v>Damien Marov South</v>
          </cell>
          <cell r="H87" t="str">
            <v>NSW South / ACT</v>
          </cell>
          <cell r="I87">
            <v>2200</v>
          </cell>
          <cell r="J87" t="str">
            <v>Infotech</v>
          </cell>
        </row>
        <row r="88">
          <cell r="B88" t="str">
            <v>DAP1</v>
          </cell>
          <cell r="C88" t="str">
            <v>FSAM-2DAP-01</v>
          </cell>
          <cell r="D88" t="str">
            <v>NSW</v>
          </cell>
          <cell r="E88" t="str">
            <v>NSW South</v>
          </cell>
          <cell r="F88" t="str">
            <v>2DAP</v>
          </cell>
          <cell r="G88" t="str">
            <v>Damien Marov South</v>
          </cell>
          <cell r="H88" t="str">
            <v>NSW South / ACT</v>
          </cell>
          <cell r="I88">
            <v>238</v>
          </cell>
          <cell r="J88" t="str">
            <v>Dalys</v>
          </cell>
        </row>
        <row r="89">
          <cell r="B89" t="str">
            <v>DAP5</v>
          </cell>
          <cell r="C89" t="str">
            <v>FSAM-2DAP-05</v>
          </cell>
          <cell r="D89" t="str">
            <v>NSW</v>
          </cell>
          <cell r="E89" t="str">
            <v>NSW South</v>
          </cell>
          <cell r="F89" t="str">
            <v>2DAP</v>
          </cell>
          <cell r="G89" t="str">
            <v>Damien Marov South</v>
          </cell>
          <cell r="H89" t="str">
            <v>NSW South / ACT</v>
          </cell>
          <cell r="I89">
            <v>2200</v>
          </cell>
        </row>
        <row r="90">
          <cell r="B90" t="str">
            <v>DAP6</v>
          </cell>
          <cell r="C90" t="str">
            <v>FSAM-2DAP-06</v>
          </cell>
          <cell r="D90" t="str">
            <v>NSW</v>
          </cell>
          <cell r="E90" t="str">
            <v>NSW South</v>
          </cell>
          <cell r="F90" t="str">
            <v>2DAP</v>
          </cell>
          <cell r="G90" t="str">
            <v>Damien Marov South</v>
          </cell>
          <cell r="H90" t="str">
            <v>NSW South / ACT</v>
          </cell>
          <cell r="I90">
            <v>2200</v>
          </cell>
          <cell r="J90" t="str">
            <v>Infotech</v>
          </cell>
        </row>
        <row r="91">
          <cell r="B91" t="str">
            <v>KIA1</v>
          </cell>
          <cell r="C91" t="str">
            <v>FSAM-2KIA-01</v>
          </cell>
          <cell r="D91" t="str">
            <v>NSW</v>
          </cell>
          <cell r="E91" t="str">
            <v>NSW South</v>
          </cell>
          <cell r="F91" t="str">
            <v>2KIA</v>
          </cell>
          <cell r="G91" t="str">
            <v>Damien Marov South</v>
          </cell>
          <cell r="H91" t="str">
            <v>NSW South / ACT</v>
          </cell>
          <cell r="I91">
            <v>2200</v>
          </cell>
        </row>
        <row r="92">
          <cell r="B92" t="str">
            <v>TRK1</v>
          </cell>
          <cell r="C92" t="str">
            <v>FSAM-2TRK-01</v>
          </cell>
          <cell r="D92" t="str">
            <v>NSW</v>
          </cell>
          <cell r="E92" t="str">
            <v>NSW South</v>
          </cell>
          <cell r="F92" t="str">
            <v>2TRK</v>
          </cell>
          <cell r="G92" t="str">
            <v>Damien Marov South</v>
          </cell>
          <cell r="H92" t="str">
            <v>NSW South / ACT</v>
          </cell>
          <cell r="I92">
            <v>2200</v>
          </cell>
        </row>
        <row r="93">
          <cell r="B93" t="str">
            <v>WAG1</v>
          </cell>
          <cell r="C93" t="str">
            <v>FSAM-2WAG-01</v>
          </cell>
          <cell r="D93" t="str">
            <v>NSW</v>
          </cell>
          <cell r="E93" t="str">
            <v>NSW South</v>
          </cell>
          <cell r="F93" t="str">
            <v>2WAG</v>
          </cell>
          <cell r="G93" t="str">
            <v>Damien Marov South</v>
          </cell>
          <cell r="H93" t="str">
            <v>NSW South / ACT</v>
          </cell>
          <cell r="I93">
            <v>2200</v>
          </cell>
          <cell r="J93" t="str">
            <v>Tata</v>
          </cell>
        </row>
        <row r="94">
          <cell r="B94" t="str">
            <v>WAG2</v>
          </cell>
          <cell r="C94" t="str">
            <v>FSAM-2WAG-02</v>
          </cell>
          <cell r="D94" t="str">
            <v>NSW</v>
          </cell>
          <cell r="E94" t="str">
            <v>NSW South</v>
          </cell>
          <cell r="F94" t="str">
            <v>2WAG</v>
          </cell>
          <cell r="G94" t="str">
            <v>Damien Marov South</v>
          </cell>
          <cell r="H94" t="str">
            <v>NSW South / ACT</v>
          </cell>
          <cell r="I94">
            <v>2200</v>
          </cell>
          <cell r="J94" t="str">
            <v>Tata</v>
          </cell>
        </row>
        <row r="95">
          <cell r="B95" t="str">
            <v>WAG3</v>
          </cell>
          <cell r="C95" t="str">
            <v>FSAM-2WAG-03</v>
          </cell>
          <cell r="D95" t="str">
            <v>NSW</v>
          </cell>
          <cell r="E95" t="str">
            <v>NSW South</v>
          </cell>
          <cell r="F95" t="str">
            <v>2WAG</v>
          </cell>
          <cell r="G95" t="str">
            <v>Damien Marov South</v>
          </cell>
          <cell r="H95" t="str">
            <v>NSW South / ACT</v>
          </cell>
          <cell r="I95">
            <v>2200</v>
          </cell>
          <cell r="J95" t="str">
            <v>Tata</v>
          </cell>
        </row>
        <row r="96">
          <cell r="B96" t="str">
            <v>WAG4</v>
          </cell>
          <cell r="C96" t="str">
            <v>FSAM-2WAG-04</v>
          </cell>
          <cell r="D96" t="str">
            <v>NSW</v>
          </cell>
          <cell r="E96" t="str">
            <v>NSW South</v>
          </cell>
          <cell r="F96" t="str">
            <v>2WAG</v>
          </cell>
          <cell r="G96" t="str">
            <v>Damien Marov South</v>
          </cell>
          <cell r="H96" t="str">
            <v>NSW South / ACT</v>
          </cell>
          <cell r="I96">
            <v>2200</v>
          </cell>
        </row>
        <row r="97">
          <cell r="B97" t="str">
            <v>WLG2</v>
          </cell>
          <cell r="C97" t="str">
            <v>FSAM-2WLG-02</v>
          </cell>
          <cell r="D97" t="str">
            <v>NSW</v>
          </cell>
          <cell r="E97" t="str">
            <v>NSW South</v>
          </cell>
          <cell r="F97" t="str">
            <v>2WLG</v>
          </cell>
          <cell r="G97" t="str">
            <v>Damien Marov South</v>
          </cell>
          <cell r="H97" t="str">
            <v>NSW South / ACT</v>
          </cell>
          <cell r="I97">
            <v>2200</v>
          </cell>
          <cell r="J97" t="str">
            <v>Infotech</v>
          </cell>
        </row>
        <row r="98">
          <cell r="B98" t="str">
            <v>WLG3</v>
          </cell>
          <cell r="C98" t="str">
            <v>FSAM-2WLG-03</v>
          </cell>
          <cell r="D98" t="str">
            <v>NSW</v>
          </cell>
          <cell r="E98" t="str">
            <v>NSW South</v>
          </cell>
          <cell r="F98" t="str">
            <v>2WLG</v>
          </cell>
          <cell r="G98" t="str">
            <v>Damien Marov South</v>
          </cell>
          <cell r="H98" t="str">
            <v>NSW South / ACT</v>
          </cell>
          <cell r="I98">
            <v>2200</v>
          </cell>
          <cell r="J98" t="str">
            <v>Infotech</v>
          </cell>
        </row>
        <row r="99">
          <cell r="B99" t="str">
            <v>WLG4</v>
          </cell>
          <cell r="C99" t="str">
            <v>FSAM-2WLG-04</v>
          </cell>
          <cell r="D99" t="str">
            <v>NSW</v>
          </cell>
          <cell r="E99" t="str">
            <v>NSW South</v>
          </cell>
          <cell r="F99" t="str">
            <v>2WLG</v>
          </cell>
          <cell r="G99" t="str">
            <v>Damien Marov South</v>
          </cell>
          <cell r="H99" t="str">
            <v>NSW South / ACT</v>
          </cell>
          <cell r="I99">
            <v>2200</v>
          </cell>
          <cell r="J99" t="str">
            <v>Dalys</v>
          </cell>
        </row>
        <row r="100">
          <cell r="B100" t="str">
            <v>WLG5</v>
          </cell>
          <cell r="C100" t="str">
            <v>FSAM-2WLG-05</v>
          </cell>
          <cell r="D100" t="str">
            <v>NSW</v>
          </cell>
          <cell r="E100" t="str">
            <v>NSW South</v>
          </cell>
          <cell r="F100" t="str">
            <v>2WLG</v>
          </cell>
          <cell r="G100" t="str">
            <v>Damien Marov South</v>
          </cell>
          <cell r="H100" t="str">
            <v>NSW South / ACT</v>
          </cell>
          <cell r="I100">
            <v>2200</v>
          </cell>
          <cell r="J100" t="str">
            <v>Infotech</v>
          </cell>
        </row>
        <row r="101">
          <cell r="B101" t="str">
            <v>WLG6</v>
          </cell>
          <cell r="C101" t="str">
            <v>FSAM-2WLG-06</v>
          </cell>
          <cell r="D101" t="str">
            <v>NSW</v>
          </cell>
          <cell r="E101" t="str">
            <v>NSW South</v>
          </cell>
          <cell r="F101" t="str">
            <v>2WLG</v>
          </cell>
          <cell r="G101" t="str">
            <v>Damien Marov South</v>
          </cell>
          <cell r="H101" t="str">
            <v>NSW South / ACT</v>
          </cell>
          <cell r="I101">
            <v>2200</v>
          </cell>
          <cell r="J101" t="str">
            <v>Infotech</v>
          </cell>
        </row>
        <row r="102">
          <cell r="B102" t="str">
            <v>BLC1</v>
          </cell>
          <cell r="C102" t="str">
            <v>FSAM-9BLC1-01</v>
          </cell>
          <cell r="D102" t="str">
            <v>NSW</v>
          </cell>
          <cell r="E102" t="str">
            <v>NSW South</v>
          </cell>
          <cell r="F102" t="str">
            <v>9BLC</v>
          </cell>
          <cell r="G102" t="str">
            <v>Damien Marov South</v>
          </cell>
          <cell r="H102" t="str">
            <v>NSW South / ACT</v>
          </cell>
          <cell r="I102">
            <v>2200</v>
          </cell>
        </row>
        <row r="103">
          <cell r="B103" t="str">
            <v>BLC2</v>
          </cell>
          <cell r="C103" t="str">
            <v>FSAM-9BLC1-02</v>
          </cell>
          <cell r="D103" t="str">
            <v>NSW</v>
          </cell>
          <cell r="E103" t="str">
            <v>NSW South</v>
          </cell>
          <cell r="F103" t="str">
            <v>9BLC</v>
          </cell>
          <cell r="G103" t="str">
            <v>Damien Marov South</v>
          </cell>
          <cell r="H103" t="str">
            <v>NSW South / ACT</v>
          </cell>
          <cell r="I103">
            <v>2200</v>
          </cell>
        </row>
        <row r="104">
          <cell r="B104" t="str">
            <v>CVI1</v>
          </cell>
          <cell r="C104" t="str">
            <v>FSAM-9CVI-01</v>
          </cell>
          <cell r="D104" t="str">
            <v>NSW</v>
          </cell>
          <cell r="E104" t="str">
            <v>NSW South</v>
          </cell>
          <cell r="F104" t="str">
            <v>9CVI</v>
          </cell>
          <cell r="G104" t="str">
            <v>Damien Marov South</v>
          </cell>
          <cell r="H104" t="str">
            <v>NSW South / ACT</v>
          </cell>
          <cell r="I104">
            <v>2200</v>
          </cell>
          <cell r="J104" t="str">
            <v>Infotech</v>
          </cell>
        </row>
        <row r="105">
          <cell r="B105" t="str">
            <v>CVI2</v>
          </cell>
          <cell r="C105" t="str">
            <v>FSAM-9CVI-02</v>
          </cell>
          <cell r="D105" t="str">
            <v>NSW</v>
          </cell>
          <cell r="E105" t="str">
            <v>NSW South</v>
          </cell>
          <cell r="F105" t="str">
            <v>9CVI</v>
          </cell>
          <cell r="G105" t="str">
            <v>Damien Marov South</v>
          </cell>
          <cell r="H105" t="str">
            <v>NSW South / ACT</v>
          </cell>
          <cell r="I105">
            <v>2200</v>
          </cell>
          <cell r="J105" t="str">
            <v>Dalys</v>
          </cell>
        </row>
        <row r="106">
          <cell r="B106" t="str">
            <v>CVI3</v>
          </cell>
          <cell r="C106" t="str">
            <v>FSAM-9CVI-03</v>
          </cell>
          <cell r="D106" t="str">
            <v>NSW</v>
          </cell>
          <cell r="E106" t="str">
            <v>NSW South</v>
          </cell>
          <cell r="F106" t="str">
            <v>9CVI</v>
          </cell>
          <cell r="G106" t="str">
            <v>Damien Marov South</v>
          </cell>
          <cell r="H106" t="str">
            <v>NSW South / ACT</v>
          </cell>
          <cell r="I106">
            <v>2200</v>
          </cell>
          <cell r="J106" t="str">
            <v>Dalys</v>
          </cell>
        </row>
        <row r="107">
          <cell r="B107" t="str">
            <v>CVI4</v>
          </cell>
          <cell r="C107" t="str">
            <v>FSAM-9CVI-04</v>
          </cell>
          <cell r="D107" t="str">
            <v>NSW</v>
          </cell>
          <cell r="E107" t="str">
            <v>NSW South</v>
          </cell>
          <cell r="F107" t="str">
            <v>9CVI</v>
          </cell>
          <cell r="G107" t="str">
            <v>Damien Marov South</v>
          </cell>
          <cell r="H107" t="str">
            <v>NSW South / ACT</v>
          </cell>
          <cell r="I107">
            <v>2200</v>
          </cell>
          <cell r="J107" t="str">
            <v>Infotech</v>
          </cell>
        </row>
        <row r="108">
          <cell r="B108" t="str">
            <v>CVI5</v>
          </cell>
          <cell r="C108" t="str">
            <v>FSAM-9CVI-05</v>
          </cell>
          <cell r="D108" t="str">
            <v>NSW</v>
          </cell>
          <cell r="E108" t="str">
            <v>NSW South</v>
          </cell>
          <cell r="F108" t="str">
            <v>9CVI</v>
          </cell>
          <cell r="G108" t="str">
            <v>Damien Marov South</v>
          </cell>
          <cell r="H108" t="str">
            <v>NSW South / ACT</v>
          </cell>
          <cell r="I108">
            <v>2338</v>
          </cell>
          <cell r="J108" t="str">
            <v>Tata</v>
          </cell>
        </row>
        <row r="109">
          <cell r="B109" t="str">
            <v>CVI6</v>
          </cell>
          <cell r="C109" t="str">
            <v>FSAM-9CVI-06</v>
          </cell>
          <cell r="D109" t="str">
            <v>NSW</v>
          </cell>
          <cell r="E109" t="str">
            <v>NSW South</v>
          </cell>
          <cell r="F109" t="str">
            <v>9CVI</v>
          </cell>
          <cell r="G109" t="str">
            <v>Damien Marov South</v>
          </cell>
          <cell r="H109" t="str">
            <v>NSW South / ACT</v>
          </cell>
          <cell r="I109">
            <v>2200</v>
          </cell>
          <cell r="J109" t="str">
            <v>Infotech</v>
          </cell>
        </row>
        <row r="110">
          <cell r="B110" t="str">
            <v>QBN1</v>
          </cell>
          <cell r="C110" t="str">
            <v>FSAM-9QBN-01</v>
          </cell>
          <cell r="D110" t="str">
            <v>NSW</v>
          </cell>
          <cell r="E110" t="str">
            <v>NSW South</v>
          </cell>
          <cell r="F110" t="str">
            <v>9QBN</v>
          </cell>
          <cell r="G110" t="str">
            <v>Damien Marov South</v>
          </cell>
          <cell r="H110" t="str">
            <v>NSW South / ACT</v>
          </cell>
          <cell r="I110">
            <v>2200</v>
          </cell>
        </row>
        <row r="111">
          <cell r="B111" t="str">
            <v>QBN2</v>
          </cell>
          <cell r="C111" t="str">
            <v>FSAM-9QBN-02</v>
          </cell>
          <cell r="D111" t="str">
            <v>NSW</v>
          </cell>
          <cell r="E111" t="str">
            <v>NSW South</v>
          </cell>
          <cell r="F111" t="str">
            <v>9QBN</v>
          </cell>
          <cell r="G111" t="str">
            <v>Damien Marov South</v>
          </cell>
          <cell r="H111" t="str">
            <v>NSW South / ACT</v>
          </cell>
          <cell r="I111">
            <v>2200</v>
          </cell>
        </row>
        <row r="112">
          <cell r="B112" t="str">
            <v>QBN3</v>
          </cell>
          <cell r="C112" t="str">
            <v>FSAM-9QBN-03</v>
          </cell>
          <cell r="D112" t="str">
            <v>NSW</v>
          </cell>
          <cell r="E112" t="str">
            <v>NSW South</v>
          </cell>
          <cell r="F112" t="str">
            <v>9QBN</v>
          </cell>
          <cell r="G112" t="str">
            <v>Damien Marov South</v>
          </cell>
          <cell r="H112" t="str">
            <v>NSW South / ACT</v>
          </cell>
          <cell r="I112">
            <v>2200</v>
          </cell>
          <cell r="J112" t="str">
            <v>Dalys</v>
          </cell>
        </row>
        <row r="113">
          <cell r="B113" t="str">
            <v>QBN4</v>
          </cell>
          <cell r="C113" t="str">
            <v>FSAM-9QBN-04</v>
          </cell>
          <cell r="D113" t="str">
            <v>NSW</v>
          </cell>
          <cell r="E113" t="str">
            <v>NSW South</v>
          </cell>
          <cell r="F113" t="str">
            <v>9QBN</v>
          </cell>
          <cell r="G113" t="str">
            <v>Damien Marov South</v>
          </cell>
          <cell r="H113" t="str">
            <v>NSW South / ACT</v>
          </cell>
          <cell r="I113">
            <v>2200</v>
          </cell>
          <cell r="J113" t="str">
            <v>STSJV</v>
          </cell>
        </row>
        <row r="114">
          <cell r="B114" t="str">
            <v>QBN6</v>
          </cell>
          <cell r="C114" t="str">
            <v>FSAM-9QBN-06</v>
          </cell>
          <cell r="D114" t="str">
            <v>NSW</v>
          </cell>
          <cell r="E114" t="str">
            <v>NSW South</v>
          </cell>
          <cell r="F114" t="str">
            <v>9QBN</v>
          </cell>
          <cell r="G114" t="str">
            <v>Damien Marov South</v>
          </cell>
          <cell r="H114" t="str">
            <v>NSW South / ACT</v>
          </cell>
          <cell r="I114">
            <v>2200</v>
          </cell>
          <cell r="J114" t="str">
            <v>Infotech</v>
          </cell>
        </row>
        <row r="115">
          <cell r="B115" t="str">
            <v>BBE1</v>
          </cell>
          <cell r="C115" t="str">
            <v>FSAM-4BBE-01</v>
          </cell>
          <cell r="D115" t="str">
            <v>QLD</v>
          </cell>
          <cell r="E115" t="str">
            <v>QLD South</v>
          </cell>
          <cell r="F115" t="str">
            <v>4BBE</v>
          </cell>
          <cell r="G115" t="str">
            <v>Sunil Nair</v>
          </cell>
          <cell r="H115" t="str">
            <v>QLD South</v>
          </cell>
          <cell r="I115">
            <v>2756</v>
          </cell>
          <cell r="J115" t="str">
            <v>Infotech</v>
          </cell>
        </row>
        <row r="116">
          <cell r="B116" t="str">
            <v>BBE2</v>
          </cell>
          <cell r="C116" t="str">
            <v>FSAM-4BBE-02</v>
          </cell>
          <cell r="D116" t="str">
            <v>QLD</v>
          </cell>
          <cell r="E116" t="str">
            <v>QLD South</v>
          </cell>
          <cell r="F116" t="str">
            <v>4BBE</v>
          </cell>
          <cell r="G116" t="str">
            <v>Sunil Nair</v>
          </cell>
          <cell r="H116" t="str">
            <v>QLD South</v>
          </cell>
          <cell r="I116">
            <v>2200</v>
          </cell>
          <cell r="J116" t="str">
            <v>Infotech</v>
          </cell>
        </row>
        <row r="117">
          <cell r="B117" t="str">
            <v>BBE3</v>
          </cell>
          <cell r="C117" t="str">
            <v>FSAM-4BBE-03</v>
          </cell>
          <cell r="D117" t="str">
            <v>QLD</v>
          </cell>
          <cell r="E117" t="str">
            <v>QLD South</v>
          </cell>
          <cell r="F117" t="str">
            <v>4BBE</v>
          </cell>
          <cell r="G117" t="str">
            <v>Sunil Nair</v>
          </cell>
          <cell r="H117" t="str">
            <v>QLD South</v>
          </cell>
          <cell r="I117">
            <v>2200</v>
          </cell>
          <cell r="J117" t="str">
            <v>Infotech</v>
          </cell>
        </row>
        <row r="118">
          <cell r="B118" t="str">
            <v>BBE4</v>
          </cell>
          <cell r="C118" t="str">
            <v>FSAM-4BBE-04</v>
          </cell>
          <cell r="D118" t="str">
            <v>QLD</v>
          </cell>
          <cell r="E118" t="str">
            <v>QLD South</v>
          </cell>
          <cell r="F118" t="str">
            <v>4BBE</v>
          </cell>
          <cell r="G118" t="str">
            <v>Sunil Nair</v>
          </cell>
          <cell r="H118" t="str">
            <v>QLD South</v>
          </cell>
          <cell r="I118">
            <v>2200</v>
          </cell>
          <cell r="J118"/>
        </row>
        <row r="119">
          <cell r="B119" t="str">
            <v>BBE5</v>
          </cell>
          <cell r="C119" t="str">
            <v>FSAM-4BBE-05</v>
          </cell>
          <cell r="D119" t="str">
            <v>QLD</v>
          </cell>
          <cell r="E119" t="str">
            <v>QLD South</v>
          </cell>
          <cell r="F119" t="str">
            <v>4BBE</v>
          </cell>
          <cell r="G119" t="str">
            <v>Sunil Nair</v>
          </cell>
          <cell r="H119" t="str">
            <v>QLD South</v>
          </cell>
          <cell r="I119">
            <v>2200</v>
          </cell>
          <cell r="J119"/>
        </row>
        <row r="120">
          <cell r="B120" t="str">
            <v>BBE6</v>
          </cell>
          <cell r="C120" t="str">
            <v>FSAM-4BBE-06</v>
          </cell>
          <cell r="D120" t="str">
            <v>QLD</v>
          </cell>
          <cell r="E120" t="str">
            <v>QLD South</v>
          </cell>
          <cell r="F120" t="str">
            <v>4BBE</v>
          </cell>
          <cell r="G120" t="str">
            <v>Sunil Nair</v>
          </cell>
          <cell r="H120" t="str">
            <v>QLD South</v>
          </cell>
          <cell r="I120">
            <v>2200</v>
          </cell>
          <cell r="J120"/>
        </row>
        <row r="121">
          <cell r="B121" t="str">
            <v>BBE7</v>
          </cell>
          <cell r="C121" t="str">
            <v>FSAM-4BBE-07</v>
          </cell>
          <cell r="D121" t="str">
            <v>QLD</v>
          </cell>
          <cell r="E121" t="str">
            <v>QLD South</v>
          </cell>
          <cell r="F121" t="str">
            <v>4BBE</v>
          </cell>
          <cell r="G121" t="str">
            <v>Sunil Nair</v>
          </cell>
          <cell r="H121" t="str">
            <v>QLD South</v>
          </cell>
          <cell r="I121">
            <v>2200</v>
          </cell>
        </row>
        <row r="122">
          <cell r="B122" t="str">
            <v>BBE8</v>
          </cell>
          <cell r="C122" t="str">
            <v>FSAM-4BBE-08</v>
          </cell>
          <cell r="D122" t="str">
            <v>QLD</v>
          </cell>
          <cell r="E122" t="str">
            <v>QLD South</v>
          </cell>
          <cell r="F122" t="str">
            <v>4BBE</v>
          </cell>
          <cell r="G122" t="str">
            <v>Sunil Nair</v>
          </cell>
          <cell r="H122" t="str">
            <v>QLD South</v>
          </cell>
          <cell r="I122">
            <v>2200</v>
          </cell>
          <cell r="J122" t="str">
            <v>Infotech</v>
          </cell>
        </row>
        <row r="123">
          <cell r="B123" t="str">
            <v>ROT1</v>
          </cell>
          <cell r="C123" t="str">
            <v>FSAM-4ROT-01</v>
          </cell>
          <cell r="D123" t="str">
            <v>QLD</v>
          </cell>
          <cell r="E123" t="str">
            <v>QLD South</v>
          </cell>
          <cell r="F123" t="str">
            <v>4ROT</v>
          </cell>
          <cell r="G123" t="str">
            <v>Sunil Nair</v>
          </cell>
          <cell r="H123" t="str">
            <v>QLD South</v>
          </cell>
          <cell r="I123">
            <v>2200</v>
          </cell>
          <cell r="J123" t="str">
            <v>Infotech</v>
          </cell>
        </row>
        <row r="124">
          <cell r="B124" t="str">
            <v>ROT2</v>
          </cell>
          <cell r="C124" t="str">
            <v>FSAM-4ROT-02</v>
          </cell>
          <cell r="D124" t="str">
            <v>QLD</v>
          </cell>
          <cell r="E124" t="str">
            <v>QLD South</v>
          </cell>
          <cell r="F124" t="str">
            <v>4ROT</v>
          </cell>
          <cell r="G124" t="str">
            <v>Sunil Nair</v>
          </cell>
          <cell r="H124" t="str">
            <v>QLD South</v>
          </cell>
          <cell r="I124">
            <v>2200</v>
          </cell>
          <cell r="J124" t="str">
            <v>STSJV</v>
          </cell>
        </row>
        <row r="125">
          <cell r="B125" t="str">
            <v>ROT3</v>
          </cell>
          <cell r="C125" t="str">
            <v>FSAM-4ROT-03</v>
          </cell>
          <cell r="D125" t="str">
            <v>QLD</v>
          </cell>
          <cell r="E125" t="str">
            <v>QLD South</v>
          </cell>
          <cell r="F125" t="str">
            <v>4ROT</v>
          </cell>
          <cell r="G125" t="str">
            <v>Sunil Nair</v>
          </cell>
          <cell r="H125" t="str">
            <v>QLD South</v>
          </cell>
          <cell r="I125">
            <v>2200</v>
          </cell>
          <cell r="J125" t="str">
            <v>Infotech</v>
          </cell>
        </row>
        <row r="126">
          <cell r="B126" t="str">
            <v>ROT4</v>
          </cell>
          <cell r="C126" t="str">
            <v>FSAM-4ROT-04</v>
          </cell>
          <cell r="D126" t="str">
            <v>QLD</v>
          </cell>
          <cell r="E126" t="str">
            <v>QLD South</v>
          </cell>
          <cell r="F126" t="str">
            <v>4ROT</v>
          </cell>
          <cell r="G126" t="str">
            <v>Sunil Nair</v>
          </cell>
          <cell r="H126" t="str">
            <v>QLD South</v>
          </cell>
          <cell r="I126">
            <v>2200</v>
          </cell>
          <cell r="J126" t="str">
            <v>Infotech</v>
          </cell>
        </row>
        <row r="127">
          <cell r="B127" t="str">
            <v>CAI6</v>
          </cell>
          <cell r="C127" t="str">
            <v>FSAM-4CAI-06</v>
          </cell>
          <cell r="D127" t="str">
            <v>QLD</v>
          </cell>
          <cell r="E127" t="str">
            <v>QLD North</v>
          </cell>
          <cell r="F127" t="str">
            <v>4CAI</v>
          </cell>
          <cell r="G127" t="str">
            <v>Sunil Nair</v>
          </cell>
          <cell r="H127" t="str">
            <v>QLD North</v>
          </cell>
          <cell r="I127">
            <v>2200</v>
          </cell>
        </row>
        <row r="128">
          <cell r="B128" t="str">
            <v>GUL1</v>
          </cell>
          <cell r="C128" t="str">
            <v>FSAM-4GUL-01</v>
          </cell>
          <cell r="D128" t="str">
            <v>QLD</v>
          </cell>
          <cell r="E128" t="str">
            <v>QLD North</v>
          </cell>
          <cell r="F128" t="str">
            <v>4GUL</v>
          </cell>
          <cell r="G128" t="str">
            <v>Sunil Nair</v>
          </cell>
          <cell r="H128" t="str">
            <v>QLD North</v>
          </cell>
          <cell r="I128">
            <v>2200</v>
          </cell>
        </row>
        <row r="129">
          <cell r="B129" t="str">
            <v>GUL7</v>
          </cell>
          <cell r="C129" t="str">
            <v>FSAM-4GUL-07</v>
          </cell>
          <cell r="D129" t="str">
            <v>QLD</v>
          </cell>
          <cell r="E129" t="str">
            <v>QLD North</v>
          </cell>
          <cell r="F129" t="str">
            <v>4GUL</v>
          </cell>
          <cell r="G129" t="str">
            <v>Sunil Nair</v>
          </cell>
          <cell r="H129" t="str">
            <v>QLD North</v>
          </cell>
          <cell r="I129">
            <v>2561</v>
          </cell>
          <cell r="J129" t="str">
            <v>Infotech</v>
          </cell>
        </row>
        <row r="130">
          <cell r="B130" t="str">
            <v>MKY5</v>
          </cell>
          <cell r="C130" t="str">
            <v>FSAM-4MKY-05</v>
          </cell>
          <cell r="D130" t="str">
            <v>QLD</v>
          </cell>
          <cell r="E130" t="str">
            <v>QLD North</v>
          </cell>
          <cell r="F130" t="str">
            <v>4MKY</v>
          </cell>
          <cell r="G130" t="str">
            <v>Sunil Nair</v>
          </cell>
          <cell r="H130" t="str">
            <v>QLD North</v>
          </cell>
          <cell r="I130">
            <v>2200</v>
          </cell>
          <cell r="J130" t="str">
            <v>Infotech</v>
          </cell>
        </row>
        <row r="131">
          <cell r="B131" t="str">
            <v>MKY6</v>
          </cell>
          <cell r="C131" t="str">
            <v>FSAM-4MKY-06</v>
          </cell>
          <cell r="D131" t="str">
            <v>QLD</v>
          </cell>
          <cell r="E131" t="str">
            <v>QLD North</v>
          </cell>
          <cell r="F131" t="str">
            <v>4MKY</v>
          </cell>
          <cell r="G131" t="str">
            <v>Sunil Nair</v>
          </cell>
          <cell r="H131" t="str">
            <v>QLD North</v>
          </cell>
          <cell r="I131">
            <v>2200</v>
          </cell>
        </row>
        <row r="132">
          <cell r="B132" t="str">
            <v>TNS7</v>
          </cell>
          <cell r="C132" t="str">
            <v>FSAM-4TNS-07</v>
          </cell>
          <cell r="D132" t="str">
            <v>QLD</v>
          </cell>
          <cell r="E132" t="str">
            <v>QLD North</v>
          </cell>
          <cell r="F132" t="str">
            <v>4TNS</v>
          </cell>
          <cell r="G132" t="str">
            <v>Sunil Nair</v>
          </cell>
          <cell r="H132" t="str">
            <v>QLD North</v>
          </cell>
          <cell r="I132">
            <v>2200</v>
          </cell>
          <cell r="J132" t="str">
            <v>Infotech</v>
          </cell>
        </row>
        <row r="133">
          <cell r="B133" t="str">
            <v>RIV4</v>
          </cell>
          <cell r="C133" t="str">
            <v>FSAM-2RIV-04</v>
          </cell>
          <cell r="D133" t="str">
            <v>NSW</v>
          </cell>
          <cell r="E133" t="str">
            <v>Sydney Metro</v>
          </cell>
          <cell r="F133" t="str">
            <v>2RIV</v>
          </cell>
          <cell r="G133" t="str">
            <v>Damien Marov West</v>
          </cell>
          <cell r="H133" t="str">
            <v>NSW Sydney West</v>
          </cell>
          <cell r="I133">
            <v>2200</v>
          </cell>
          <cell r="J133" t="str">
            <v>Infotech</v>
          </cell>
        </row>
        <row r="134">
          <cell r="B134" t="str">
            <v>MKY4</v>
          </cell>
          <cell r="C134" t="str">
            <v>FSAM-4MKY-04</v>
          </cell>
          <cell r="D134" t="str">
            <v>QLD</v>
          </cell>
          <cell r="E134" t="str">
            <v>QLD North</v>
          </cell>
          <cell r="F134" t="str">
            <v>4MKY</v>
          </cell>
          <cell r="G134" t="str">
            <v>Sunil Nair</v>
          </cell>
          <cell r="H134" t="str">
            <v>QLD North</v>
          </cell>
          <cell r="I134">
            <v>2760</v>
          </cell>
          <cell r="J134" t="str">
            <v>STSJV</v>
          </cell>
        </row>
        <row r="135">
          <cell r="B135" t="str">
            <v>TOB7</v>
          </cell>
          <cell r="C135" t="str">
            <v>FSAM-4TOB-07</v>
          </cell>
          <cell r="D135" t="str">
            <v>QLD</v>
          </cell>
          <cell r="E135" t="str">
            <v>QLD South</v>
          </cell>
          <cell r="F135" t="str">
            <v>4TOB</v>
          </cell>
          <cell r="G135" t="str">
            <v>Jonathan Cogan</v>
          </cell>
          <cell r="H135" t="str">
            <v>QLD South</v>
          </cell>
          <cell r="I135">
            <v>1020</v>
          </cell>
          <cell r="J135" t="str">
            <v>Infotech</v>
          </cell>
        </row>
        <row r="136">
          <cell r="B136" t="str">
            <v>ASH3</v>
          </cell>
          <cell r="C136" t="str">
            <v>FSAM-4ASH-03</v>
          </cell>
          <cell r="D136" t="str">
            <v>QLD</v>
          </cell>
          <cell r="E136" t="str">
            <v>Brisbane Metro</v>
          </cell>
          <cell r="F136" t="str">
            <v>4ASH</v>
          </cell>
          <cell r="G136" t="str">
            <v>Jonathan Cogan</v>
          </cell>
          <cell r="H136" t="str">
            <v>QLD Metro</v>
          </cell>
          <cell r="I136">
            <v>1162</v>
          </cell>
          <cell r="J136" t="str">
            <v>JEL</v>
          </cell>
        </row>
        <row r="137">
          <cell r="B137" t="str">
            <v>KLG4</v>
          </cell>
          <cell r="C137" t="str">
            <v>FSAM-4KLG-04</v>
          </cell>
          <cell r="D137" t="str">
            <v>QLD</v>
          </cell>
          <cell r="E137" t="str">
            <v>Brisbane Metro</v>
          </cell>
          <cell r="F137" t="str">
            <v>4KLG</v>
          </cell>
          <cell r="G137" t="str">
            <v>Jonathan Cogan</v>
          </cell>
          <cell r="H137" t="str">
            <v>QLD Metro</v>
          </cell>
          <cell r="I137">
            <v>1185</v>
          </cell>
          <cell r="J137" t="str">
            <v>Infotech</v>
          </cell>
        </row>
        <row r="138">
          <cell r="B138" t="str">
            <v>IPS4</v>
          </cell>
          <cell r="C138" t="str">
            <v>FSAM-4IPS-04</v>
          </cell>
          <cell r="D138" t="str">
            <v>QLD</v>
          </cell>
          <cell r="E138" t="str">
            <v>Brisbane Metro</v>
          </cell>
          <cell r="F138" t="str">
            <v>4IPS</v>
          </cell>
          <cell r="G138" t="str">
            <v>Jonathan Cogan</v>
          </cell>
          <cell r="H138" t="str">
            <v>QLD South</v>
          </cell>
          <cell r="I138">
            <v>1212</v>
          </cell>
          <cell r="J138" t="str">
            <v>STSJV</v>
          </cell>
        </row>
        <row r="139">
          <cell r="B139" t="str">
            <v>BLK6</v>
          </cell>
          <cell r="C139" t="str">
            <v>FSAM-2BLK-06</v>
          </cell>
          <cell r="D139" t="str">
            <v>NSW</v>
          </cell>
          <cell r="E139" t="str">
            <v>Sydney Metro</v>
          </cell>
          <cell r="F139" t="str">
            <v>2BLK</v>
          </cell>
          <cell r="G139" t="str">
            <v>Damien Marov West</v>
          </cell>
          <cell r="H139" t="str">
            <v>NSW Sydney West</v>
          </cell>
          <cell r="I139">
            <v>1253</v>
          </cell>
        </row>
        <row r="140">
          <cell r="B140" t="str">
            <v>BDB1</v>
          </cell>
          <cell r="C140" t="str">
            <v>FSAM-4BDB-01</v>
          </cell>
          <cell r="D140" t="str">
            <v>QLD</v>
          </cell>
          <cell r="E140" t="str">
            <v>Brisbane Metro</v>
          </cell>
          <cell r="F140" t="str">
            <v>4BDB</v>
          </cell>
          <cell r="G140" t="str">
            <v>Jonathan Cogan</v>
          </cell>
          <cell r="H140" t="str">
            <v>QLD Metro</v>
          </cell>
          <cell r="I140">
            <v>1382</v>
          </cell>
        </row>
        <row r="141">
          <cell r="B141" t="str">
            <v>TOB6</v>
          </cell>
          <cell r="C141" t="str">
            <v>FSAM-4TOB-06</v>
          </cell>
          <cell r="D141" t="str">
            <v>QLD</v>
          </cell>
          <cell r="E141" t="str">
            <v>QLD South</v>
          </cell>
          <cell r="F141" t="str">
            <v>4TOB</v>
          </cell>
          <cell r="G141" t="str">
            <v>Jonathan Cogan</v>
          </cell>
          <cell r="H141" t="str">
            <v>QLD South</v>
          </cell>
          <cell r="I141">
            <v>2737</v>
          </cell>
        </row>
        <row r="142">
          <cell r="B142" t="str">
            <v>PTH5</v>
          </cell>
          <cell r="C142" t="str">
            <v>FSAM-2PTH-05</v>
          </cell>
          <cell r="D142" t="str">
            <v>NSW</v>
          </cell>
          <cell r="E142" t="str">
            <v>Sydney Metro</v>
          </cell>
          <cell r="F142" t="str">
            <v>2PTH</v>
          </cell>
          <cell r="G142" t="str">
            <v>Damien Marov West</v>
          </cell>
          <cell r="H142" t="str">
            <v>NSW Sydney West</v>
          </cell>
          <cell r="I142">
            <v>1625</v>
          </cell>
          <cell r="J142" t="str">
            <v>Infotech</v>
          </cell>
        </row>
        <row r="143">
          <cell r="B143" t="str">
            <v>IPS2</v>
          </cell>
          <cell r="C143" t="str">
            <v>FSAM-4IPS-02</v>
          </cell>
          <cell r="D143" t="str">
            <v>QLD</v>
          </cell>
          <cell r="E143" t="str">
            <v>Brisbane Metro</v>
          </cell>
          <cell r="F143" t="str">
            <v>4IPS</v>
          </cell>
          <cell r="G143" t="str">
            <v>Jonathan Cogan</v>
          </cell>
          <cell r="H143" t="str">
            <v>QLD South</v>
          </cell>
          <cell r="I143">
            <v>1746</v>
          </cell>
          <cell r="J143" t="str">
            <v>STSJV</v>
          </cell>
        </row>
        <row r="144">
          <cell r="B144" t="str">
            <v>CFS7</v>
          </cell>
          <cell r="C144" t="str">
            <v>FSAM-2CFS-07</v>
          </cell>
          <cell r="D144" t="str">
            <v>NSW</v>
          </cell>
          <cell r="E144" t="str">
            <v>NSW North</v>
          </cell>
          <cell r="F144" t="str">
            <v>2CFS</v>
          </cell>
          <cell r="G144" t="str">
            <v>James Herden</v>
          </cell>
          <cell r="H144" t="str">
            <v>NSW North</v>
          </cell>
          <cell r="I144">
            <v>3084</v>
          </cell>
        </row>
        <row r="145">
          <cell r="B145" t="str">
            <v>DAP2</v>
          </cell>
          <cell r="C145" t="str">
            <v>FSAM-2DAP-02</v>
          </cell>
          <cell r="D145" t="str">
            <v>NSW</v>
          </cell>
          <cell r="E145" t="str">
            <v>NSW South</v>
          </cell>
          <cell r="F145" t="str">
            <v>2DAP</v>
          </cell>
          <cell r="G145" t="str">
            <v>Damien Marov South</v>
          </cell>
          <cell r="H145" t="str">
            <v>NSW South / ACT</v>
          </cell>
          <cell r="I145">
            <v>2808</v>
          </cell>
        </row>
        <row r="146">
          <cell r="B146" t="str">
            <v>BLK2</v>
          </cell>
          <cell r="C146" t="str">
            <v>FSAM-2BLK-02</v>
          </cell>
          <cell r="D146" t="str">
            <v>NSW</v>
          </cell>
          <cell r="E146" t="str">
            <v>Sydney Metro</v>
          </cell>
          <cell r="F146" t="str">
            <v>2BLK</v>
          </cell>
          <cell r="G146" t="str">
            <v>Damien Marov West</v>
          </cell>
          <cell r="H146" t="str">
            <v>NSW Sydney West</v>
          </cell>
          <cell r="I146">
            <v>2489</v>
          </cell>
        </row>
        <row r="147">
          <cell r="B147" t="str">
            <v>GDN6</v>
          </cell>
          <cell r="C147" t="str">
            <v>FSAM-4GDN-06</v>
          </cell>
          <cell r="D147" t="str">
            <v>QLD</v>
          </cell>
          <cell r="E147" t="str">
            <v>Brisbane Metro</v>
          </cell>
          <cell r="F147" t="str">
            <v>4GDN</v>
          </cell>
          <cell r="G147" t="str">
            <v>Jonathan Cogan</v>
          </cell>
          <cell r="H147" t="str">
            <v>QLD Metro</v>
          </cell>
          <cell r="I147">
            <v>1928</v>
          </cell>
        </row>
        <row r="148">
          <cell r="B148" t="str">
            <v>TNS4</v>
          </cell>
          <cell r="C148" t="str">
            <v>FSAM-4TNS-04</v>
          </cell>
          <cell r="D148" t="str">
            <v>QLD</v>
          </cell>
          <cell r="E148" t="str">
            <v>QLD North</v>
          </cell>
          <cell r="F148" t="str">
            <v>4TNS</v>
          </cell>
          <cell r="G148" t="str">
            <v>Sunil Nair</v>
          </cell>
          <cell r="H148" t="str">
            <v>QLD North</v>
          </cell>
          <cell r="I148">
            <v>2757</v>
          </cell>
        </row>
        <row r="149">
          <cell r="B149" t="str">
            <v>TOB5</v>
          </cell>
          <cell r="C149" t="str">
            <v>FSAM-4TOB-05</v>
          </cell>
          <cell r="D149" t="str">
            <v>QLD</v>
          </cell>
          <cell r="E149" t="str">
            <v>QLD South</v>
          </cell>
          <cell r="F149" t="str">
            <v>4TOB</v>
          </cell>
          <cell r="G149" t="str">
            <v>Jonathan Cogan</v>
          </cell>
          <cell r="H149" t="str">
            <v>QLD South</v>
          </cell>
          <cell r="I149">
            <v>2112</v>
          </cell>
        </row>
        <row r="150">
          <cell r="B150" t="str">
            <v>CFS1</v>
          </cell>
          <cell r="C150" t="str">
            <v>FSAM-2CFS-01</v>
          </cell>
          <cell r="D150" t="str">
            <v>NSW</v>
          </cell>
          <cell r="E150" t="str">
            <v>NSW North</v>
          </cell>
          <cell r="F150" t="str">
            <v>2CFS</v>
          </cell>
          <cell r="G150" t="str">
            <v>James Herden</v>
          </cell>
          <cell r="H150" t="str">
            <v>NSW North</v>
          </cell>
          <cell r="I150">
            <v>2820</v>
          </cell>
        </row>
        <row r="151">
          <cell r="B151" t="str">
            <v>BDB2</v>
          </cell>
          <cell r="C151" t="str">
            <v>FSAM-4BDB-02</v>
          </cell>
          <cell r="D151" t="str">
            <v>QLD</v>
          </cell>
          <cell r="E151" t="str">
            <v>Brisbane Metro</v>
          </cell>
          <cell r="F151" t="str">
            <v>4BDB</v>
          </cell>
          <cell r="G151" t="str">
            <v>Jonathan Cogan</v>
          </cell>
          <cell r="H151" t="str">
            <v>QLD Metro</v>
          </cell>
          <cell r="I151">
            <v>2200</v>
          </cell>
          <cell r="J151" t="str">
            <v>STSJV</v>
          </cell>
        </row>
        <row r="152">
          <cell r="B152" t="str">
            <v>KLG1</v>
          </cell>
          <cell r="C152" t="str">
            <v>FSAM-4KLG-01</v>
          </cell>
          <cell r="D152" t="str">
            <v>QLD</v>
          </cell>
          <cell r="E152" t="str">
            <v>Brisbane Metro</v>
          </cell>
          <cell r="F152" t="str">
            <v>4KLG</v>
          </cell>
          <cell r="G152" t="str">
            <v>Jonathan Cogan</v>
          </cell>
          <cell r="H152" t="str">
            <v>QLD Metro</v>
          </cell>
          <cell r="I152">
            <v>2509</v>
          </cell>
        </row>
        <row r="153">
          <cell r="B153" t="str">
            <v>RIV1</v>
          </cell>
          <cell r="C153" t="str">
            <v>FSAM-2RIV-01</v>
          </cell>
          <cell r="D153" t="str">
            <v>NSW</v>
          </cell>
          <cell r="E153" t="str">
            <v>Sydney Metro</v>
          </cell>
          <cell r="F153" t="str">
            <v>2RIV</v>
          </cell>
          <cell r="G153" t="str">
            <v>Damien Marov West</v>
          </cell>
          <cell r="H153" t="str">
            <v>NSW Sydney West</v>
          </cell>
          <cell r="I153">
            <v>2830</v>
          </cell>
        </row>
        <row r="154">
          <cell r="B154" t="str">
            <v>APL3</v>
          </cell>
          <cell r="C154" t="str">
            <v>FSAM-4APL-03</v>
          </cell>
          <cell r="D154" t="str">
            <v>QLD</v>
          </cell>
          <cell r="E154" t="str">
            <v>Brisbane Metro</v>
          </cell>
          <cell r="F154" t="str">
            <v>4APL</v>
          </cell>
          <cell r="G154" t="str">
            <v>Jonathan Cogan</v>
          </cell>
          <cell r="H154" t="str">
            <v>QLD Metro</v>
          </cell>
          <cell r="I154">
            <v>1580</v>
          </cell>
        </row>
        <row r="155">
          <cell r="B155" t="str">
            <v>TOB4</v>
          </cell>
          <cell r="C155" t="str">
            <v>FSAM-4TOB-04</v>
          </cell>
          <cell r="D155" t="str">
            <v>QLD</v>
          </cell>
          <cell r="E155" t="str">
            <v>QLD South</v>
          </cell>
          <cell r="F155" t="str">
            <v>4TOB</v>
          </cell>
          <cell r="G155" t="str">
            <v>Jonathan Cogan</v>
          </cell>
          <cell r="H155" t="str">
            <v>QLD South</v>
          </cell>
          <cell r="I155">
            <v>2428</v>
          </cell>
        </row>
        <row r="156">
          <cell r="B156" t="str">
            <v>TOB8</v>
          </cell>
          <cell r="C156" t="str">
            <v>FSAM-4TOB-08</v>
          </cell>
          <cell r="D156" t="str">
            <v>QLD</v>
          </cell>
          <cell r="E156" t="str">
            <v>QLD South</v>
          </cell>
          <cell r="F156" t="str">
            <v>4TOB</v>
          </cell>
          <cell r="G156" t="str">
            <v>Jonathan Cogan</v>
          </cell>
          <cell r="H156" t="str">
            <v>QLD South</v>
          </cell>
          <cell r="I156">
            <v>2200</v>
          </cell>
          <cell r="J156" t="str">
            <v>Infotech</v>
          </cell>
        </row>
        <row r="157">
          <cell r="B157" t="str">
            <v>TNS2</v>
          </cell>
          <cell r="C157" t="str">
            <v>FSAM-4TNS-02</v>
          </cell>
          <cell r="D157" t="str">
            <v>QLD</v>
          </cell>
          <cell r="E157" t="str">
            <v>QLD North</v>
          </cell>
          <cell r="F157" t="str">
            <v>4TNS</v>
          </cell>
          <cell r="G157" t="str">
            <v>Sunil Nair</v>
          </cell>
          <cell r="H157" t="str">
            <v>QLD North</v>
          </cell>
          <cell r="I157">
            <v>1839</v>
          </cell>
        </row>
        <row r="158">
          <cell r="B158" t="str">
            <v>TNS5</v>
          </cell>
          <cell r="C158" t="str">
            <v>FSAM-4TNS-05</v>
          </cell>
          <cell r="D158" t="str">
            <v>QLD</v>
          </cell>
          <cell r="E158" t="str">
            <v>QLD North</v>
          </cell>
          <cell r="F158" t="str">
            <v>4TNS</v>
          </cell>
          <cell r="G158" t="str">
            <v>Sunil Nair</v>
          </cell>
          <cell r="H158" t="str">
            <v>QLD North</v>
          </cell>
          <cell r="I158">
            <v>2114</v>
          </cell>
        </row>
        <row r="159">
          <cell r="B159" t="str">
            <v>APL2</v>
          </cell>
          <cell r="C159" t="str">
            <v>FSAM-4APL-02</v>
          </cell>
          <cell r="D159" t="str">
            <v>QLD</v>
          </cell>
          <cell r="E159" t="str">
            <v>Brisbane Metro</v>
          </cell>
          <cell r="F159" t="str">
            <v>4APL</v>
          </cell>
          <cell r="G159" t="str">
            <v>Jonathan Cogan</v>
          </cell>
          <cell r="H159" t="str">
            <v>QLD Metro</v>
          </cell>
          <cell r="I159">
            <v>1375</v>
          </cell>
        </row>
        <row r="160">
          <cell r="B160" t="str">
            <v>TOB3</v>
          </cell>
          <cell r="C160" t="str">
            <v>FSAM-4TOB-03</v>
          </cell>
          <cell r="D160" t="str">
            <v>QLD</v>
          </cell>
          <cell r="E160" t="str">
            <v>QLD South</v>
          </cell>
          <cell r="F160" t="str">
            <v>4TOB</v>
          </cell>
          <cell r="G160" t="str">
            <v>Jonathan Cogan</v>
          </cell>
          <cell r="H160" t="str">
            <v>QLD South</v>
          </cell>
          <cell r="I160">
            <v>2613</v>
          </cell>
        </row>
        <row r="161">
          <cell r="B161" t="str">
            <v>GUL5</v>
          </cell>
          <cell r="C161" t="str">
            <v>FSAM-4GUL-05</v>
          </cell>
          <cell r="D161" t="str">
            <v>QLD</v>
          </cell>
          <cell r="E161" t="str">
            <v>QLD North</v>
          </cell>
          <cell r="F161" t="str">
            <v>4GUL</v>
          </cell>
          <cell r="G161" t="str">
            <v>Sunil Nair</v>
          </cell>
          <cell r="H161" t="str">
            <v>QLD North</v>
          </cell>
          <cell r="I161">
            <v>2288</v>
          </cell>
        </row>
        <row r="162">
          <cell r="B162" t="str">
            <v>GOS1</v>
          </cell>
          <cell r="C162" t="str">
            <v>FSAM-2GOS-01</v>
          </cell>
          <cell r="D162" t="str">
            <v>NSW</v>
          </cell>
          <cell r="E162" t="str">
            <v>NSW North</v>
          </cell>
          <cell r="F162" t="str">
            <v>2GOS</v>
          </cell>
          <cell r="G162" t="str">
            <v>Ben Stelzer</v>
          </cell>
          <cell r="H162" t="str">
            <v>NSW Sydney Metro</v>
          </cell>
          <cell r="I162">
            <v>2558</v>
          </cell>
        </row>
        <row r="163">
          <cell r="B163" t="str">
            <v>GOS2</v>
          </cell>
          <cell r="C163" t="str">
            <v>FSAM-2GOS-02</v>
          </cell>
          <cell r="D163" t="str">
            <v>NSW</v>
          </cell>
          <cell r="E163" t="str">
            <v>NSW North</v>
          </cell>
          <cell r="F163" t="str">
            <v>2GOS</v>
          </cell>
          <cell r="G163" t="str">
            <v>Ben Stelzer</v>
          </cell>
          <cell r="H163" t="str">
            <v>NSW Sydney Metro</v>
          </cell>
          <cell r="I163">
            <v>2394</v>
          </cell>
        </row>
        <row r="164">
          <cell r="B164" t="str">
            <v>GOS4</v>
          </cell>
          <cell r="C164" t="str">
            <v>FSAM-2GOS-04</v>
          </cell>
          <cell r="D164" t="str">
            <v>NSW</v>
          </cell>
          <cell r="E164" t="str">
            <v>NSW North</v>
          </cell>
          <cell r="F164" t="str">
            <v>2GOS</v>
          </cell>
          <cell r="G164" t="str">
            <v>Ben Stelzer</v>
          </cell>
          <cell r="H164" t="str">
            <v>NSW Sydney Metro</v>
          </cell>
          <cell r="I164">
            <v>2658</v>
          </cell>
        </row>
        <row r="165">
          <cell r="B165" t="str">
            <v>GOS5</v>
          </cell>
          <cell r="C165" t="str">
            <v>FSAM-2GOS-05</v>
          </cell>
          <cell r="D165" t="str">
            <v>NSW</v>
          </cell>
          <cell r="E165" t="str">
            <v>NSW North</v>
          </cell>
          <cell r="F165" t="str">
            <v>2GOS</v>
          </cell>
          <cell r="G165" t="str">
            <v>Ben Stelzer</v>
          </cell>
          <cell r="H165" t="str">
            <v>NSW Sydney Metro</v>
          </cell>
          <cell r="I165">
            <v>2432</v>
          </cell>
        </row>
        <row r="166">
          <cell r="B166" t="str">
            <v>GOS6</v>
          </cell>
          <cell r="C166" t="str">
            <v>FSAM-2GOS-06</v>
          </cell>
          <cell r="D166" t="str">
            <v>NSW</v>
          </cell>
          <cell r="E166" t="str">
            <v>NSW North</v>
          </cell>
          <cell r="F166" t="str">
            <v>2GOS</v>
          </cell>
          <cell r="G166" t="str">
            <v>Ben Stelzer</v>
          </cell>
          <cell r="H166" t="str">
            <v>NSW Sydney Metro</v>
          </cell>
          <cell r="I166">
            <v>2666</v>
          </cell>
        </row>
        <row r="167">
          <cell r="B167" t="str">
            <v>LJT1</v>
          </cell>
          <cell r="C167" t="str">
            <v>FSAM-2LJT-01</v>
          </cell>
          <cell r="D167" t="str">
            <v>NSW</v>
          </cell>
          <cell r="E167" t="str">
            <v>NSW North</v>
          </cell>
          <cell r="F167" t="str">
            <v>2LJT</v>
          </cell>
          <cell r="G167" t="str">
            <v>Ben Stelzer</v>
          </cell>
          <cell r="H167" t="str">
            <v>NSW Sydney Metro</v>
          </cell>
          <cell r="I167">
            <v>2487</v>
          </cell>
        </row>
        <row r="168">
          <cell r="B168" t="str">
            <v>LJT2</v>
          </cell>
          <cell r="C168" t="str">
            <v>FSAM-2LJT-02</v>
          </cell>
          <cell r="D168" t="str">
            <v>NSW</v>
          </cell>
          <cell r="E168" t="str">
            <v>NSW North</v>
          </cell>
          <cell r="F168" t="str">
            <v>2LJT</v>
          </cell>
          <cell r="G168" t="str">
            <v>Ben Stelzer</v>
          </cell>
          <cell r="H168" t="str">
            <v>NSW Sydney Metro</v>
          </cell>
          <cell r="I168">
            <v>2561</v>
          </cell>
        </row>
        <row r="169">
          <cell r="B169" t="str">
            <v>LJT3</v>
          </cell>
          <cell r="C169" t="str">
            <v>FSAM-2LJT-03</v>
          </cell>
          <cell r="D169" t="str">
            <v>NSW</v>
          </cell>
          <cell r="E169" t="str">
            <v>NSW North</v>
          </cell>
          <cell r="F169" t="str">
            <v>2LJT</v>
          </cell>
          <cell r="G169" t="str">
            <v>Ben Stelzer</v>
          </cell>
          <cell r="H169" t="str">
            <v>NSW Sydney Metro</v>
          </cell>
          <cell r="I169">
            <v>2789</v>
          </cell>
        </row>
        <row r="170">
          <cell r="B170" t="str">
            <v>LJT4</v>
          </cell>
          <cell r="C170" t="str">
            <v>FSAM-2LJT-04</v>
          </cell>
          <cell r="D170" t="str">
            <v>NSW</v>
          </cell>
          <cell r="E170" t="str">
            <v>NSW North</v>
          </cell>
          <cell r="F170" t="str">
            <v>2LJT</v>
          </cell>
          <cell r="G170" t="str">
            <v>Ben Stelzer</v>
          </cell>
          <cell r="H170" t="str">
            <v>NSW Sydney Metro</v>
          </cell>
          <cell r="I170">
            <v>2733</v>
          </cell>
          <cell r="J170" t="str">
            <v>Dalys</v>
          </cell>
        </row>
        <row r="171">
          <cell r="B171" t="str">
            <v>BLK1</v>
          </cell>
          <cell r="C171" t="str">
            <v>FSAM-2BLK-01</v>
          </cell>
          <cell r="D171" t="str">
            <v>NSW</v>
          </cell>
          <cell r="E171" t="str">
            <v>Sydney Metro</v>
          </cell>
          <cell r="F171" t="str">
            <v>2BLK</v>
          </cell>
          <cell r="G171" t="str">
            <v>Damien Marov West</v>
          </cell>
          <cell r="H171" t="str">
            <v>NSW Sydney West</v>
          </cell>
          <cell r="I171">
            <v>3111</v>
          </cell>
        </row>
        <row r="172">
          <cell r="B172" t="str">
            <v>BLK3</v>
          </cell>
          <cell r="C172" t="str">
            <v>FSAM-2BLK-03</v>
          </cell>
          <cell r="D172" t="str">
            <v>NSW</v>
          </cell>
          <cell r="E172" t="str">
            <v>Sydney Metro</v>
          </cell>
          <cell r="F172" t="str">
            <v>2BLK</v>
          </cell>
          <cell r="G172" t="str">
            <v>Damien Marov West</v>
          </cell>
          <cell r="H172" t="str">
            <v>NSW Sydney West</v>
          </cell>
          <cell r="I172">
            <v>3156</v>
          </cell>
        </row>
        <row r="173">
          <cell r="B173" t="str">
            <v>BLK4</v>
          </cell>
          <cell r="C173" t="str">
            <v>FSAM-2BLK-04</v>
          </cell>
          <cell r="D173" t="str">
            <v>NSW</v>
          </cell>
          <cell r="E173" t="str">
            <v>Sydney Metro</v>
          </cell>
          <cell r="F173" t="str">
            <v>2BLK</v>
          </cell>
          <cell r="G173" t="str">
            <v>Damien Marov West</v>
          </cell>
          <cell r="H173" t="str">
            <v>NSW Sydney West</v>
          </cell>
          <cell r="I173">
            <v>3004</v>
          </cell>
        </row>
        <row r="174">
          <cell r="B174" t="str">
            <v>BLK5</v>
          </cell>
          <cell r="C174" t="str">
            <v>FSAM-2BLK-05</v>
          </cell>
          <cell r="D174" t="str">
            <v>NSW</v>
          </cell>
          <cell r="E174" t="str">
            <v>Sydney Metro</v>
          </cell>
          <cell r="F174" t="str">
            <v>2BLK</v>
          </cell>
          <cell r="G174" t="str">
            <v>Damien Marov West</v>
          </cell>
          <cell r="H174" t="str">
            <v>NSW Sydney West</v>
          </cell>
          <cell r="I174">
            <v>2403</v>
          </cell>
        </row>
        <row r="175">
          <cell r="B175" t="str">
            <v>PTH1</v>
          </cell>
          <cell r="C175" t="str">
            <v>FSAM-2PTH-01</v>
          </cell>
          <cell r="D175" t="str">
            <v>NSW</v>
          </cell>
          <cell r="E175" t="str">
            <v>Sydney Metro</v>
          </cell>
          <cell r="F175" t="str">
            <v>2PTH</v>
          </cell>
          <cell r="G175" t="str">
            <v>Damien Marov West</v>
          </cell>
          <cell r="H175" t="str">
            <v>NSW Sydney West</v>
          </cell>
          <cell r="I175">
            <v>1775</v>
          </cell>
        </row>
        <row r="176">
          <cell r="B176" t="str">
            <v>PTH2</v>
          </cell>
          <cell r="C176" t="str">
            <v>FSAM-2PTH-02</v>
          </cell>
          <cell r="D176" t="str">
            <v>NSW</v>
          </cell>
          <cell r="E176" t="str">
            <v>Sydney Metro</v>
          </cell>
          <cell r="F176" t="str">
            <v>2PTH</v>
          </cell>
          <cell r="G176" t="str">
            <v>Damien Marov West</v>
          </cell>
          <cell r="H176" t="str">
            <v>NSW Sydney West</v>
          </cell>
          <cell r="I176">
            <v>2413</v>
          </cell>
        </row>
        <row r="177">
          <cell r="B177" t="str">
            <v>PTH3</v>
          </cell>
          <cell r="C177" t="str">
            <v>FSAM-2PTH-03</v>
          </cell>
          <cell r="D177" t="str">
            <v>NSW</v>
          </cell>
          <cell r="E177" t="str">
            <v>Sydney Metro</v>
          </cell>
          <cell r="F177" t="str">
            <v>2PTH</v>
          </cell>
          <cell r="G177" t="str">
            <v>Damien Marov West</v>
          </cell>
          <cell r="H177" t="str">
            <v>NSW Sydney West</v>
          </cell>
          <cell r="I177">
            <v>2371</v>
          </cell>
          <cell r="J177" t="str">
            <v>Infotech</v>
          </cell>
        </row>
        <row r="178">
          <cell r="B178" t="str">
            <v>PTH4</v>
          </cell>
          <cell r="C178" t="str">
            <v>FSAM-2PTH-04</v>
          </cell>
          <cell r="D178" t="str">
            <v>NSW</v>
          </cell>
          <cell r="E178" t="str">
            <v>Sydney Metro</v>
          </cell>
          <cell r="F178" t="str">
            <v>2PTH</v>
          </cell>
          <cell r="G178" t="str">
            <v>Damien Marov West</v>
          </cell>
          <cell r="H178" t="str">
            <v>NSW Sydney West</v>
          </cell>
          <cell r="I178">
            <v>1655</v>
          </cell>
        </row>
        <row r="179">
          <cell r="B179" t="str">
            <v>RCH1</v>
          </cell>
          <cell r="C179" t="str">
            <v>FSAM-2RCH-01</v>
          </cell>
          <cell r="D179" t="str">
            <v>NSW</v>
          </cell>
          <cell r="E179" t="str">
            <v>Sydney Metro</v>
          </cell>
          <cell r="F179" t="str">
            <v>2RCH</v>
          </cell>
          <cell r="G179" t="str">
            <v>Damien Marov West</v>
          </cell>
          <cell r="H179" t="str">
            <v>NSW Sydney West</v>
          </cell>
          <cell r="I179">
            <v>2164</v>
          </cell>
        </row>
        <row r="180">
          <cell r="B180" t="str">
            <v>RCH2</v>
          </cell>
          <cell r="C180" t="str">
            <v>FSAM-2RCH-02</v>
          </cell>
          <cell r="D180" t="str">
            <v>NSW</v>
          </cell>
          <cell r="E180" t="str">
            <v>Sydney Metro</v>
          </cell>
          <cell r="F180" t="str">
            <v>2RCH</v>
          </cell>
          <cell r="G180" t="str">
            <v>Damien Marov West</v>
          </cell>
          <cell r="H180" t="str">
            <v>NSW Sydney West</v>
          </cell>
          <cell r="I180">
            <v>2138</v>
          </cell>
        </row>
        <row r="181">
          <cell r="B181" t="str">
            <v>RCH3</v>
          </cell>
          <cell r="C181" t="str">
            <v>FSAM-2RCH-03</v>
          </cell>
          <cell r="D181" t="str">
            <v>NSW</v>
          </cell>
          <cell r="E181" t="str">
            <v>Sydney Metro</v>
          </cell>
          <cell r="F181" t="str">
            <v>2RCH</v>
          </cell>
          <cell r="G181" t="str">
            <v>Damien Marov West</v>
          </cell>
          <cell r="H181" t="str">
            <v>NSW Sydney West</v>
          </cell>
          <cell r="I181">
            <v>2024</v>
          </cell>
        </row>
        <row r="182">
          <cell r="B182" t="str">
            <v>RCH4</v>
          </cell>
          <cell r="C182" t="str">
            <v>FSAM-2RCH-04</v>
          </cell>
          <cell r="D182" t="str">
            <v>NSW</v>
          </cell>
          <cell r="E182" t="str">
            <v>Sydney Metro</v>
          </cell>
          <cell r="F182" t="str">
            <v>2RCH</v>
          </cell>
          <cell r="G182" t="str">
            <v>Damien Marov West</v>
          </cell>
          <cell r="H182" t="str">
            <v>NSW Sydney West</v>
          </cell>
          <cell r="I182">
            <v>2327</v>
          </cell>
        </row>
        <row r="183">
          <cell r="B183" t="str">
            <v>RCH5</v>
          </cell>
          <cell r="C183" t="str">
            <v>FSAM-2RCH-05</v>
          </cell>
          <cell r="D183" t="str">
            <v>NSW</v>
          </cell>
          <cell r="E183" t="str">
            <v>Sydney Metro</v>
          </cell>
          <cell r="F183" t="str">
            <v>2RCH</v>
          </cell>
          <cell r="G183" t="str">
            <v>Damien Marov West</v>
          </cell>
          <cell r="H183" t="str">
            <v>NSW Sydney West</v>
          </cell>
          <cell r="I183">
            <v>821</v>
          </cell>
          <cell r="J183" t="str">
            <v>Dalys</v>
          </cell>
        </row>
        <row r="184">
          <cell r="B184" t="str">
            <v>RIV2</v>
          </cell>
          <cell r="C184" t="str">
            <v>FSAM-2RIV-02</v>
          </cell>
          <cell r="D184" t="str">
            <v>NSW</v>
          </cell>
          <cell r="E184" t="str">
            <v>Sydney Metro</v>
          </cell>
          <cell r="F184" t="str">
            <v>2RIV</v>
          </cell>
          <cell r="G184" t="str">
            <v>Damien Marov West</v>
          </cell>
          <cell r="H184" t="str">
            <v>NSW Sydney West</v>
          </cell>
          <cell r="I184">
            <v>634</v>
          </cell>
        </row>
        <row r="185">
          <cell r="B185" t="str">
            <v>ARM4</v>
          </cell>
          <cell r="C185" t="str">
            <v>FSAM-2ARM-04</v>
          </cell>
          <cell r="D185" t="str">
            <v>NSW</v>
          </cell>
          <cell r="E185" t="str">
            <v>NSW North</v>
          </cell>
          <cell r="F185" t="str">
            <v>2ARM</v>
          </cell>
          <cell r="G185" t="str">
            <v>James Herden</v>
          </cell>
          <cell r="H185" t="str">
            <v>NSW North</v>
          </cell>
          <cell r="I185">
            <v>2483</v>
          </cell>
        </row>
        <row r="186">
          <cell r="B186" t="str">
            <v>ARM5</v>
          </cell>
          <cell r="C186" t="str">
            <v>FSAM-2ARM-05</v>
          </cell>
          <cell r="D186" t="str">
            <v>NSW</v>
          </cell>
          <cell r="E186" t="str">
            <v>NSW North</v>
          </cell>
          <cell r="F186" t="str">
            <v>2ARM</v>
          </cell>
          <cell r="G186" t="str">
            <v>James Herden</v>
          </cell>
          <cell r="H186" t="str">
            <v>NSW North</v>
          </cell>
          <cell r="I186">
            <v>2299</v>
          </cell>
        </row>
        <row r="187">
          <cell r="B187" t="str">
            <v>ARM6</v>
          </cell>
          <cell r="C187" t="str">
            <v>FSAM-2ARM-06</v>
          </cell>
          <cell r="D187" t="str">
            <v>NSW</v>
          </cell>
          <cell r="E187" t="str">
            <v>NSW North</v>
          </cell>
          <cell r="F187" t="str">
            <v>2ARM</v>
          </cell>
          <cell r="G187" t="str">
            <v>James Herden</v>
          </cell>
          <cell r="H187" t="str">
            <v>NSW North</v>
          </cell>
          <cell r="I187">
            <v>2654</v>
          </cell>
        </row>
        <row r="188">
          <cell r="B188" t="str">
            <v>CFS2</v>
          </cell>
          <cell r="C188" t="str">
            <v>FSAM-2CFS-02</v>
          </cell>
          <cell r="D188" t="str">
            <v>NSW</v>
          </cell>
          <cell r="E188" t="str">
            <v>NSW North</v>
          </cell>
          <cell r="F188" t="str">
            <v>2CFS</v>
          </cell>
          <cell r="G188" t="str">
            <v>James Herden</v>
          </cell>
          <cell r="H188" t="str">
            <v>NSW North</v>
          </cell>
          <cell r="I188">
            <v>2464</v>
          </cell>
        </row>
        <row r="189">
          <cell r="B189" t="str">
            <v>CFS3</v>
          </cell>
          <cell r="C189" t="str">
            <v>FSAM-2CFS-03</v>
          </cell>
          <cell r="D189" t="str">
            <v>NSW</v>
          </cell>
          <cell r="E189" t="str">
            <v>NSW North</v>
          </cell>
          <cell r="F189" t="str">
            <v>2CFS</v>
          </cell>
          <cell r="G189" t="str">
            <v>James Herden</v>
          </cell>
          <cell r="H189" t="str">
            <v>NSW North</v>
          </cell>
          <cell r="I189">
            <v>2489</v>
          </cell>
        </row>
        <row r="190">
          <cell r="B190" t="str">
            <v>CFS5</v>
          </cell>
          <cell r="C190" t="str">
            <v>FSAM-2CFS-05</v>
          </cell>
          <cell r="D190" t="str">
            <v>NSW</v>
          </cell>
          <cell r="E190" t="str">
            <v>NSW North</v>
          </cell>
          <cell r="F190" t="str">
            <v>2CFS</v>
          </cell>
          <cell r="G190" t="str">
            <v>James Herden</v>
          </cell>
          <cell r="H190" t="str">
            <v>NSW North</v>
          </cell>
          <cell r="I190">
            <v>2164</v>
          </cell>
        </row>
        <row r="191">
          <cell r="B191" t="str">
            <v>SAW1</v>
          </cell>
          <cell r="C191" t="str">
            <v>FSAM-2SAW-01</v>
          </cell>
          <cell r="D191" t="str">
            <v>NSW</v>
          </cell>
          <cell r="E191" t="str">
            <v>NSW North</v>
          </cell>
          <cell r="F191" t="str">
            <v>2SAW</v>
          </cell>
          <cell r="G191" t="str">
            <v>James Herden</v>
          </cell>
          <cell r="H191" t="str">
            <v>NSW North</v>
          </cell>
          <cell r="I191">
            <v>2672</v>
          </cell>
        </row>
        <row r="192">
          <cell r="B192" t="str">
            <v>SAW4</v>
          </cell>
          <cell r="C192" t="str">
            <v>FSAM-2SAW-04</v>
          </cell>
          <cell r="D192" t="str">
            <v>NSW</v>
          </cell>
          <cell r="E192" t="str">
            <v>NSW North</v>
          </cell>
          <cell r="F192" t="str">
            <v>2SAW</v>
          </cell>
          <cell r="G192" t="str">
            <v>James Herden</v>
          </cell>
          <cell r="H192" t="str">
            <v>NSW North</v>
          </cell>
          <cell r="I192">
            <v>1704</v>
          </cell>
        </row>
        <row r="193">
          <cell r="B193" t="str">
            <v>TEE2</v>
          </cell>
          <cell r="C193" t="str">
            <v>FSAM-2TEE-02</v>
          </cell>
          <cell r="D193" t="str">
            <v>NSW</v>
          </cell>
          <cell r="E193" t="str">
            <v>NSW North</v>
          </cell>
          <cell r="F193" t="str">
            <v>2TEE</v>
          </cell>
          <cell r="G193" t="str">
            <v>James Herden</v>
          </cell>
          <cell r="H193" t="str">
            <v>NSW North</v>
          </cell>
          <cell r="I193">
            <v>2470</v>
          </cell>
          <cell r="J193" t="str">
            <v>Dalys</v>
          </cell>
        </row>
        <row r="194">
          <cell r="B194" t="str">
            <v>TEE4</v>
          </cell>
          <cell r="C194" t="str">
            <v>FSAM-2TEE-04</v>
          </cell>
          <cell r="D194" t="str">
            <v>NSW</v>
          </cell>
          <cell r="E194" t="str">
            <v>NSW North</v>
          </cell>
          <cell r="F194" t="str">
            <v>2TEE</v>
          </cell>
          <cell r="G194" t="str">
            <v>James Herden</v>
          </cell>
          <cell r="H194" t="str">
            <v>NSW North</v>
          </cell>
          <cell r="I194">
            <v>1764</v>
          </cell>
          <cell r="J194" t="str">
            <v>Dalys</v>
          </cell>
        </row>
        <row r="195">
          <cell r="B195" t="str">
            <v>TOB1</v>
          </cell>
          <cell r="C195" t="str">
            <v>FSAM-4TOB-01</v>
          </cell>
          <cell r="D195" t="str">
            <v>QLD</v>
          </cell>
          <cell r="E195" t="str">
            <v>QLD South</v>
          </cell>
          <cell r="F195" t="str">
            <v>4TOB</v>
          </cell>
          <cell r="G195" t="str">
            <v>Jonathan Cogan</v>
          </cell>
          <cell r="H195" t="str">
            <v>QLD South</v>
          </cell>
          <cell r="I195">
            <v>1790</v>
          </cell>
        </row>
        <row r="196">
          <cell r="B196" t="str">
            <v>APL1</v>
          </cell>
          <cell r="C196" t="str">
            <v>FSAM-4APL-01</v>
          </cell>
          <cell r="D196" t="str">
            <v>QLD</v>
          </cell>
          <cell r="E196" t="str">
            <v>Brisbane Metro</v>
          </cell>
          <cell r="F196" t="str">
            <v>4APL</v>
          </cell>
          <cell r="G196" t="str">
            <v>Jonathan Cogan</v>
          </cell>
          <cell r="H196" t="str">
            <v>QLD Metro</v>
          </cell>
          <cell r="I196">
            <v>2272</v>
          </cell>
        </row>
        <row r="197">
          <cell r="B197" t="str">
            <v>GDN4</v>
          </cell>
          <cell r="C197" t="str">
            <v>FSAM-4GDN-04</v>
          </cell>
          <cell r="D197" t="str">
            <v>QLD</v>
          </cell>
          <cell r="E197" t="str">
            <v>Brisbane Metro</v>
          </cell>
          <cell r="F197" t="str">
            <v>4GDN</v>
          </cell>
          <cell r="G197" t="str">
            <v>Jonathan Cogan</v>
          </cell>
          <cell r="H197" t="str">
            <v>QLD Metro</v>
          </cell>
          <cell r="I197">
            <v>2155</v>
          </cell>
        </row>
        <row r="198">
          <cell r="B198" t="str">
            <v>NDG1</v>
          </cell>
          <cell r="C198" t="str">
            <v>FSAM-4NDG-01</v>
          </cell>
          <cell r="D198" t="str">
            <v>QLD</v>
          </cell>
          <cell r="E198" t="str">
            <v>Brisbane Metro</v>
          </cell>
          <cell r="F198" t="str">
            <v>4NDG</v>
          </cell>
          <cell r="G198" t="str">
            <v>Jonathan Cogan</v>
          </cell>
          <cell r="H198" t="str">
            <v>QLD Metro</v>
          </cell>
          <cell r="I198">
            <v>2446</v>
          </cell>
        </row>
        <row r="199">
          <cell r="B199" t="str">
            <v>NDG2</v>
          </cell>
          <cell r="C199" t="str">
            <v>FSAM-4NDG-02</v>
          </cell>
          <cell r="D199" t="str">
            <v>QLD</v>
          </cell>
          <cell r="E199" t="str">
            <v>Brisbane Metro</v>
          </cell>
          <cell r="F199" t="str">
            <v>4NDG</v>
          </cell>
          <cell r="G199" t="str">
            <v>Jonathan Cogan</v>
          </cell>
          <cell r="H199" t="str">
            <v>QLD Metro</v>
          </cell>
          <cell r="I199">
            <v>2495</v>
          </cell>
        </row>
        <row r="200">
          <cell r="B200" t="str">
            <v>KIA2</v>
          </cell>
          <cell r="C200" t="str">
            <v>FSAM-2KIA-02</v>
          </cell>
          <cell r="D200" t="str">
            <v>NSW</v>
          </cell>
          <cell r="E200" t="str">
            <v>NSW South</v>
          </cell>
          <cell r="F200" t="str">
            <v>2KIA</v>
          </cell>
          <cell r="G200" t="str">
            <v>Damien Marov South</v>
          </cell>
          <cell r="H200" t="str">
            <v>NSW South / ACT</v>
          </cell>
          <cell r="I200">
            <v>2402</v>
          </cell>
        </row>
        <row r="201">
          <cell r="B201" t="str">
            <v>KIA3</v>
          </cell>
          <cell r="C201" t="str">
            <v>FSAM-2KIA-03</v>
          </cell>
          <cell r="D201" t="str">
            <v>NSW</v>
          </cell>
          <cell r="E201" t="str">
            <v>NSW South</v>
          </cell>
          <cell r="F201" t="str">
            <v>2KIA</v>
          </cell>
          <cell r="G201" t="str">
            <v>Damien Marov South</v>
          </cell>
          <cell r="H201" t="str">
            <v>NSW South / ACT</v>
          </cell>
          <cell r="I201">
            <v>2228</v>
          </cell>
        </row>
        <row r="202">
          <cell r="B202" t="str">
            <v>WLG1</v>
          </cell>
          <cell r="C202" t="str">
            <v>FSAM-2WLG-01</v>
          </cell>
          <cell r="D202" t="str">
            <v>NSW</v>
          </cell>
          <cell r="E202" t="str">
            <v>NSW South</v>
          </cell>
          <cell r="F202" t="str">
            <v>2WLG</v>
          </cell>
          <cell r="G202" t="str">
            <v>Damien Marov South</v>
          </cell>
          <cell r="H202" t="str">
            <v>NSW South / ACT</v>
          </cell>
          <cell r="I202">
            <v>3318</v>
          </cell>
          <cell r="J202" t="str">
            <v>Infotech</v>
          </cell>
        </row>
        <row r="203">
          <cell r="B203" t="str">
            <v>CRC1</v>
          </cell>
          <cell r="C203" t="str">
            <v>FSAM-9CRC-01</v>
          </cell>
          <cell r="D203" t="str">
            <v>NSW</v>
          </cell>
          <cell r="E203" t="str">
            <v>NSW South</v>
          </cell>
          <cell r="F203" t="str">
            <v>9CRC</v>
          </cell>
          <cell r="G203" t="str">
            <v>Damien Marov South</v>
          </cell>
          <cell r="H203" t="str">
            <v>NSW South / ACT</v>
          </cell>
          <cell r="I203">
            <v>2686</v>
          </cell>
        </row>
        <row r="204">
          <cell r="B204" t="str">
            <v>CRC2</v>
          </cell>
          <cell r="C204" t="str">
            <v>FSAM-9CRC-02</v>
          </cell>
          <cell r="D204" t="str">
            <v>NSW</v>
          </cell>
          <cell r="E204" t="str">
            <v>NSW South</v>
          </cell>
          <cell r="F204" t="str">
            <v>9CRC</v>
          </cell>
          <cell r="G204" t="str">
            <v>Damien Marov South</v>
          </cell>
          <cell r="H204" t="str">
            <v>NSW South / ACT</v>
          </cell>
          <cell r="I204">
            <v>2874</v>
          </cell>
        </row>
        <row r="205">
          <cell r="B205" t="str">
            <v>CRC3</v>
          </cell>
          <cell r="C205" t="str">
            <v>FSAM-9CRC-03</v>
          </cell>
          <cell r="D205" t="str">
            <v>NSW</v>
          </cell>
          <cell r="E205" t="str">
            <v>NSW South</v>
          </cell>
          <cell r="F205" t="str">
            <v>9CRC</v>
          </cell>
          <cell r="G205" t="str">
            <v>Damien Marov South</v>
          </cell>
          <cell r="H205" t="str">
            <v>NSW South / ACT</v>
          </cell>
          <cell r="I205">
            <v>2583</v>
          </cell>
        </row>
        <row r="206">
          <cell r="B206" t="str">
            <v>CRC4</v>
          </cell>
          <cell r="C206" t="str">
            <v>FSAM-9CRC-04</v>
          </cell>
          <cell r="D206" t="str">
            <v>NSW</v>
          </cell>
          <cell r="E206" t="str">
            <v>NSW South</v>
          </cell>
          <cell r="F206" t="str">
            <v>9CRC</v>
          </cell>
          <cell r="G206" t="str">
            <v>Damien Marov South</v>
          </cell>
          <cell r="H206" t="str">
            <v>NSW South / ACT</v>
          </cell>
          <cell r="I206">
            <v>2447</v>
          </cell>
        </row>
        <row r="207">
          <cell r="B207" t="str">
            <v>CRC5</v>
          </cell>
          <cell r="C207" t="str">
            <v>FSAM-9CRC-05</v>
          </cell>
          <cell r="D207" t="str">
            <v>NSW</v>
          </cell>
          <cell r="E207" t="str">
            <v>NSW South</v>
          </cell>
          <cell r="F207" t="str">
            <v>9CRC</v>
          </cell>
          <cell r="G207" t="str">
            <v>Damien Marov South</v>
          </cell>
          <cell r="H207" t="str">
            <v>NSW South / ACT</v>
          </cell>
          <cell r="I207">
            <v>2472</v>
          </cell>
        </row>
        <row r="208">
          <cell r="B208" t="str">
            <v>CRC6</v>
          </cell>
          <cell r="C208" t="str">
            <v>FSAM-9CRC-06</v>
          </cell>
          <cell r="D208" t="str">
            <v>NSW</v>
          </cell>
          <cell r="E208" t="str">
            <v>NSW South</v>
          </cell>
          <cell r="F208" t="str">
            <v>9CRC</v>
          </cell>
          <cell r="G208" t="str">
            <v>Damien Marov South</v>
          </cell>
          <cell r="H208" t="str">
            <v>NSW South / ACT</v>
          </cell>
          <cell r="I208">
            <v>1753</v>
          </cell>
        </row>
        <row r="209">
          <cell r="B209" t="str">
            <v>CAI1</v>
          </cell>
          <cell r="C209" t="str">
            <v>FSAM-4CAI-01</v>
          </cell>
          <cell r="D209" t="str">
            <v>QLD</v>
          </cell>
          <cell r="E209" t="str">
            <v>QLD North</v>
          </cell>
          <cell r="F209" t="str">
            <v>4CAI</v>
          </cell>
          <cell r="G209" t="str">
            <v>Sunil Nair</v>
          </cell>
          <cell r="H209" t="str">
            <v>QLD North</v>
          </cell>
          <cell r="I209">
            <v>2473</v>
          </cell>
        </row>
        <row r="210">
          <cell r="B210" t="str">
            <v>CAI2</v>
          </cell>
          <cell r="C210" t="str">
            <v>FSAM-4CAI-02</v>
          </cell>
          <cell r="D210" t="str">
            <v>QLD</v>
          </cell>
          <cell r="E210" t="str">
            <v>QLD North</v>
          </cell>
          <cell r="F210" t="str">
            <v>4CAI</v>
          </cell>
          <cell r="G210" t="str">
            <v>Sunil Nair</v>
          </cell>
          <cell r="H210" t="str">
            <v>QLD North</v>
          </cell>
          <cell r="I210">
            <v>2985</v>
          </cell>
        </row>
        <row r="211">
          <cell r="B211" t="str">
            <v>CAI3</v>
          </cell>
          <cell r="C211" t="str">
            <v>FSAM-4CAI-03</v>
          </cell>
          <cell r="D211" t="str">
            <v>QLD</v>
          </cell>
          <cell r="E211" t="str">
            <v>QLD North</v>
          </cell>
          <cell r="F211" t="str">
            <v>4CAI</v>
          </cell>
          <cell r="G211" t="str">
            <v>Sunil Nair</v>
          </cell>
          <cell r="H211" t="str">
            <v>QLD North</v>
          </cell>
          <cell r="I211">
            <v>2439</v>
          </cell>
        </row>
        <row r="212">
          <cell r="B212" t="str">
            <v>GUL4</v>
          </cell>
          <cell r="C212" t="str">
            <v>FSAM-4GUL-04</v>
          </cell>
          <cell r="D212" t="str">
            <v>QLD</v>
          </cell>
          <cell r="E212" t="str">
            <v>QLD North</v>
          </cell>
          <cell r="F212" t="str">
            <v>4GUL</v>
          </cell>
          <cell r="G212" t="str">
            <v>Sunil Nair</v>
          </cell>
          <cell r="H212" t="str">
            <v>QLD North</v>
          </cell>
          <cell r="I212">
            <v>2327</v>
          </cell>
        </row>
        <row r="213">
          <cell r="B213" t="str">
            <v>MKY1</v>
          </cell>
          <cell r="C213" t="str">
            <v>FSAM-4MKY-01</v>
          </cell>
          <cell r="D213" t="str">
            <v>QLD</v>
          </cell>
          <cell r="E213" t="str">
            <v>QLD North</v>
          </cell>
          <cell r="F213" t="str">
            <v>4MKY</v>
          </cell>
          <cell r="G213" t="str">
            <v>Sunil Nair</v>
          </cell>
          <cell r="H213" t="str">
            <v>QLD North</v>
          </cell>
          <cell r="I213">
            <v>2146</v>
          </cell>
        </row>
        <row r="214">
          <cell r="B214" t="str">
            <v>MKY3</v>
          </cell>
          <cell r="C214" t="str">
            <v>FSAM-4MKY-03</v>
          </cell>
          <cell r="D214" t="str">
            <v>QLD</v>
          </cell>
          <cell r="E214" t="str">
            <v>QLD North</v>
          </cell>
          <cell r="F214" t="str">
            <v>4MKY</v>
          </cell>
          <cell r="G214" t="str">
            <v>Sunil Nair</v>
          </cell>
          <cell r="H214" t="str">
            <v>QLD North</v>
          </cell>
          <cell r="I214">
            <v>2567</v>
          </cell>
        </row>
        <row r="215">
          <cell r="B215" t="str">
            <v>TNS6</v>
          </cell>
          <cell r="C215" t="str">
            <v>FSAM-4TNS-06</v>
          </cell>
          <cell r="D215" t="str">
            <v>QLD</v>
          </cell>
          <cell r="E215" t="str">
            <v>QLD North</v>
          </cell>
          <cell r="F215" t="str">
            <v>4TNS</v>
          </cell>
          <cell r="G215" t="str">
            <v>Sunil Nair</v>
          </cell>
          <cell r="H215" t="str">
            <v>QLD North</v>
          </cell>
          <cell r="I215">
            <v>2298</v>
          </cell>
        </row>
        <row r="216">
          <cell r="B216" t="str">
            <v>LID3</v>
          </cell>
          <cell r="C216" t="str">
            <v>FSAM-2LID-03</v>
          </cell>
          <cell r="D216" t="str">
            <v>NSW</v>
          </cell>
          <cell r="E216" t="str">
            <v>Sydney Metro</v>
          </cell>
          <cell r="F216" t="str">
            <v>2LID</v>
          </cell>
          <cell r="G216" t="str">
            <v>Ben Stelzer</v>
          </cell>
          <cell r="H216" t="str">
            <v>NSW Sydney Metro</v>
          </cell>
          <cell r="I216">
            <v>2558</v>
          </cell>
        </row>
        <row r="217">
          <cell r="B217" t="str">
            <v>DAP4</v>
          </cell>
          <cell r="C217" t="str">
            <v>FSAM-2DAP-04</v>
          </cell>
          <cell r="D217" t="str">
            <v>NSW</v>
          </cell>
          <cell r="E217" t="str">
            <v>NSW South</v>
          </cell>
          <cell r="F217" t="str">
            <v>2DAP</v>
          </cell>
          <cell r="G217" t="str">
            <v>Damien Marov South</v>
          </cell>
          <cell r="H217" t="str">
            <v>NSW South / ACT</v>
          </cell>
          <cell r="I217">
            <v>2448</v>
          </cell>
        </row>
        <row r="218">
          <cell r="B218" t="str">
            <v>CAI4</v>
          </cell>
          <cell r="C218" t="str">
            <v>FSAM-4CAI-04</v>
          </cell>
          <cell r="D218" t="str">
            <v>QLD</v>
          </cell>
          <cell r="E218" t="str">
            <v>QLD North</v>
          </cell>
          <cell r="F218" t="str">
            <v>4CAI</v>
          </cell>
          <cell r="G218" t="str">
            <v>Sunil Nair</v>
          </cell>
          <cell r="H218" t="str">
            <v>QLD North</v>
          </cell>
          <cell r="I218">
            <v>2380</v>
          </cell>
          <cell r="J218" t="str">
            <v>Infotech</v>
          </cell>
        </row>
        <row r="219">
          <cell r="B219" t="str">
            <v>MKY2</v>
          </cell>
          <cell r="C219" t="str">
            <v>FSAM-4MKY-02</v>
          </cell>
          <cell r="D219" t="str">
            <v>QLD</v>
          </cell>
          <cell r="E219" t="str">
            <v>QLD North</v>
          </cell>
          <cell r="F219" t="str">
            <v>4MKY</v>
          </cell>
          <cell r="G219" t="str">
            <v>Sunil Nair</v>
          </cell>
          <cell r="H219" t="str">
            <v>QLD North</v>
          </cell>
          <cell r="I219">
            <v>2285</v>
          </cell>
        </row>
        <row r="220">
          <cell r="B220" t="str">
            <v>TNS3</v>
          </cell>
          <cell r="C220" t="str">
            <v>FSAM-4TNS-03</v>
          </cell>
          <cell r="D220" t="str">
            <v>QLD</v>
          </cell>
          <cell r="E220" t="str">
            <v>QLD North</v>
          </cell>
          <cell r="F220" t="str">
            <v>4TNS</v>
          </cell>
          <cell r="G220" t="str">
            <v>Sunil Nair</v>
          </cell>
          <cell r="H220" t="str">
            <v>QLD North</v>
          </cell>
          <cell r="I220">
            <v>2522</v>
          </cell>
        </row>
        <row r="221">
          <cell r="B221" t="str">
            <v>GUL3</v>
          </cell>
          <cell r="C221" t="str">
            <v>FSAM-4GUL-03</v>
          </cell>
          <cell r="D221" t="str">
            <v>QLD</v>
          </cell>
          <cell r="E221" t="str">
            <v>QLD North</v>
          </cell>
          <cell r="F221" t="str">
            <v>4GUL</v>
          </cell>
          <cell r="G221" t="str">
            <v>Sunil Nair</v>
          </cell>
          <cell r="H221" t="str">
            <v>QLD North</v>
          </cell>
          <cell r="I221">
            <v>2915</v>
          </cell>
        </row>
        <row r="222">
          <cell r="B222" t="str">
            <v>GDN5</v>
          </cell>
          <cell r="C222" t="str">
            <v>FSAM-4GDN-05</v>
          </cell>
          <cell r="D222" t="str">
            <v>QLD</v>
          </cell>
          <cell r="E222" t="str">
            <v>Brisbane Metro</v>
          </cell>
          <cell r="F222" t="str">
            <v>4GDN</v>
          </cell>
          <cell r="G222" t="str">
            <v>Jonathan Cogan</v>
          </cell>
          <cell r="H222" t="str">
            <v>QLD Metro</v>
          </cell>
          <cell r="I222">
            <v>1108</v>
          </cell>
        </row>
        <row r="223">
          <cell r="B223" t="str">
            <v>TNS1</v>
          </cell>
          <cell r="C223" t="str">
            <v>FSAM-4TNS-01</v>
          </cell>
          <cell r="D223" t="str">
            <v>QLD</v>
          </cell>
          <cell r="E223" t="str">
            <v>QLD North</v>
          </cell>
          <cell r="F223" t="str">
            <v>4TNS</v>
          </cell>
          <cell r="G223" t="str">
            <v>Sunil Nair</v>
          </cell>
          <cell r="H223" t="str">
            <v>QLD North</v>
          </cell>
          <cell r="I223">
            <v>1524</v>
          </cell>
        </row>
        <row r="224">
          <cell r="B224" t="str">
            <v>CAI5</v>
          </cell>
          <cell r="C224" t="str">
            <v>FSAM-4CAI-05</v>
          </cell>
          <cell r="D224" t="str">
            <v>QLD</v>
          </cell>
          <cell r="E224" t="str">
            <v>QLD North</v>
          </cell>
          <cell r="F224" t="str">
            <v>4CAI</v>
          </cell>
          <cell r="G224" t="str">
            <v>Sunil Nair</v>
          </cell>
          <cell r="H224" t="str">
            <v>QLD North</v>
          </cell>
          <cell r="I224">
            <v>2236</v>
          </cell>
          <cell r="J224" t="str">
            <v>Infotech</v>
          </cell>
        </row>
        <row r="225">
          <cell r="B225" t="str">
            <v>GDN1</v>
          </cell>
          <cell r="C225" t="str">
            <v>FSAM-4GDN-01</v>
          </cell>
          <cell r="D225" t="str">
            <v>QLD</v>
          </cell>
          <cell r="E225" t="str">
            <v>Brisbane Metro</v>
          </cell>
          <cell r="F225" t="str">
            <v>4GDN</v>
          </cell>
          <cell r="G225" t="str">
            <v>Jonathan Cogan</v>
          </cell>
          <cell r="H225" t="str">
            <v>QLD Metro</v>
          </cell>
          <cell r="I225">
            <v>2241</v>
          </cell>
        </row>
        <row r="226">
          <cell r="B226" t="str">
            <v>HOM1</v>
          </cell>
          <cell r="C226" t="str">
            <v>FSAM-2HOM-01</v>
          </cell>
          <cell r="D226" t="str">
            <v>NSW</v>
          </cell>
          <cell r="E226" t="str">
            <v>Sydney Metro</v>
          </cell>
          <cell r="F226" t="str">
            <v>2HOM</v>
          </cell>
          <cell r="G226" t="str">
            <v>Ben Stelzer</v>
          </cell>
          <cell r="H226" t="str">
            <v>NSW Sydney Metro</v>
          </cell>
          <cell r="I226">
            <v>2552</v>
          </cell>
        </row>
        <row r="227">
          <cell r="B227" t="str">
            <v>SAW2</v>
          </cell>
          <cell r="C227" t="str">
            <v>FSAM-2SAW-02</v>
          </cell>
          <cell r="D227" t="str">
            <v>NSW</v>
          </cell>
          <cell r="E227" t="str">
            <v>NSW North</v>
          </cell>
          <cell r="F227" t="str">
            <v>2SAW</v>
          </cell>
          <cell r="G227" t="str">
            <v>James Herden</v>
          </cell>
          <cell r="H227" t="str">
            <v>NSW North</v>
          </cell>
          <cell r="I227">
            <v>1726</v>
          </cell>
        </row>
        <row r="228">
          <cell r="B228" t="str">
            <v>NDG3</v>
          </cell>
          <cell r="C228" t="str">
            <v>FSAM-4NDG-03</v>
          </cell>
          <cell r="D228" t="str">
            <v>QLD</v>
          </cell>
          <cell r="E228" t="str">
            <v>Brisbane Metro</v>
          </cell>
          <cell r="F228" t="str">
            <v>4NDG</v>
          </cell>
          <cell r="G228" t="str">
            <v>Jonathan Cogan</v>
          </cell>
          <cell r="H228" t="str">
            <v>QLD Metro</v>
          </cell>
          <cell r="I228">
            <v>2583</v>
          </cell>
        </row>
        <row r="229">
          <cell r="B229" t="str">
            <v>GUL6</v>
          </cell>
          <cell r="C229" t="str">
            <v>FSAM-4GUL-06</v>
          </cell>
          <cell r="D229" t="str">
            <v>QLD</v>
          </cell>
          <cell r="E229" t="str">
            <v>QLD North</v>
          </cell>
          <cell r="F229" t="str">
            <v>4GUL</v>
          </cell>
          <cell r="G229" t="str">
            <v>Sunil Nair</v>
          </cell>
          <cell r="H229" t="str">
            <v>QLD North</v>
          </cell>
          <cell r="I229">
            <v>2424</v>
          </cell>
        </row>
        <row r="230">
          <cell r="B230" t="str">
            <v>CFS4</v>
          </cell>
          <cell r="C230" t="str">
            <v>FSAM-2CFS-04</v>
          </cell>
          <cell r="D230" t="str">
            <v>NSW</v>
          </cell>
          <cell r="E230" t="str">
            <v>NSW North</v>
          </cell>
          <cell r="F230" t="str">
            <v>2CFS</v>
          </cell>
          <cell r="G230" t="str">
            <v>James Herden</v>
          </cell>
          <cell r="H230" t="str">
            <v>NSW North</v>
          </cell>
          <cell r="I230">
            <v>2279</v>
          </cell>
        </row>
        <row r="231">
          <cell r="B231" t="str">
            <v>SAW3</v>
          </cell>
          <cell r="C231" t="str">
            <v>FSAM-2SAW-03</v>
          </cell>
          <cell r="D231" t="str">
            <v>NSW</v>
          </cell>
          <cell r="E231" t="str">
            <v>NSW North</v>
          </cell>
          <cell r="F231" t="str">
            <v>2SAW</v>
          </cell>
          <cell r="G231" t="str">
            <v>James Herden</v>
          </cell>
          <cell r="H231" t="str">
            <v>NSW North</v>
          </cell>
          <cell r="I231">
            <v>1746</v>
          </cell>
        </row>
        <row r="232">
          <cell r="B232" t="str">
            <v>GUL2</v>
          </cell>
          <cell r="C232" t="str">
            <v>FSAM-4GUL-02</v>
          </cell>
          <cell r="D232" t="str">
            <v>QLD</v>
          </cell>
          <cell r="E232" t="str">
            <v>QLD North</v>
          </cell>
          <cell r="F232" t="str">
            <v>4GUL</v>
          </cell>
          <cell r="G232" t="str">
            <v>Sunil Nair</v>
          </cell>
          <cell r="H232" t="str">
            <v>QLD North</v>
          </cell>
          <cell r="I232">
            <v>3020</v>
          </cell>
        </row>
        <row r="233">
          <cell r="B233" t="str">
            <v>GDN2</v>
          </cell>
          <cell r="C233" t="str">
            <v>FSAM-4GDN-02</v>
          </cell>
          <cell r="D233" t="str">
            <v>QLD</v>
          </cell>
          <cell r="E233" t="str">
            <v>Brisbane Metro</v>
          </cell>
          <cell r="F233" t="str">
            <v>4GDN</v>
          </cell>
          <cell r="G233" t="str">
            <v>Jonathan Cogan</v>
          </cell>
          <cell r="H233" t="str">
            <v>QLD Metro</v>
          </cell>
          <cell r="I233">
            <v>2383</v>
          </cell>
        </row>
        <row r="234">
          <cell r="B234" t="str">
            <v>LID1</v>
          </cell>
          <cell r="C234" t="str">
            <v>FSAM-2LID-01</v>
          </cell>
          <cell r="D234" t="str">
            <v>NSW</v>
          </cell>
          <cell r="E234" t="str">
            <v>Sydney Metro</v>
          </cell>
          <cell r="F234" t="str">
            <v>2LID</v>
          </cell>
          <cell r="G234" t="str">
            <v>Ben Stelzer</v>
          </cell>
          <cell r="H234" t="str">
            <v>NSW Sydney Metro</v>
          </cell>
          <cell r="I234">
            <v>2146</v>
          </cell>
        </row>
        <row r="235">
          <cell r="B235" t="str">
            <v>RIV3</v>
          </cell>
          <cell r="C235" t="str">
            <v>FSAM-2RIV-03</v>
          </cell>
          <cell r="D235" t="str">
            <v>NSW</v>
          </cell>
          <cell r="E235" t="str">
            <v>Sydney Metro</v>
          </cell>
          <cell r="F235" t="str">
            <v>2RIV</v>
          </cell>
          <cell r="G235" t="str">
            <v>Damien Marov West</v>
          </cell>
          <cell r="H235" t="str">
            <v>NSW Sydney West</v>
          </cell>
          <cell r="I235">
            <v>1062</v>
          </cell>
        </row>
        <row r="236">
          <cell r="B236" t="str">
            <v>PTH6</v>
          </cell>
          <cell r="C236" t="str">
            <v>FSAM-2PTH-06</v>
          </cell>
          <cell r="D236" t="str">
            <v>NSW</v>
          </cell>
          <cell r="E236" t="str">
            <v>Sydney Metro</v>
          </cell>
          <cell r="F236" t="str">
            <v>2PTH</v>
          </cell>
          <cell r="G236" t="str">
            <v>Damien Marov West</v>
          </cell>
          <cell r="H236" t="str">
            <v>NSW Sydney West</v>
          </cell>
          <cell r="I236">
            <v>2394</v>
          </cell>
        </row>
        <row r="237">
          <cell r="B237" t="str">
            <v>TOB9</v>
          </cell>
          <cell r="C237" t="str">
            <v>FSAM-4TOB-09</v>
          </cell>
          <cell r="D237" t="str">
            <v>QLD</v>
          </cell>
          <cell r="E237" t="str">
            <v>QLD South</v>
          </cell>
          <cell r="F237" t="str">
            <v>4TOB</v>
          </cell>
          <cell r="G237" t="str">
            <v>Jonathan Cogan</v>
          </cell>
          <cell r="H237" t="str">
            <v>QLD South</v>
          </cell>
          <cell r="I237">
            <v>2417</v>
          </cell>
        </row>
        <row r="238">
          <cell r="B238" t="str">
            <v>LID5</v>
          </cell>
          <cell r="C238" t="str">
            <v>FSAM-2LID-05</v>
          </cell>
          <cell r="D238" t="str">
            <v>NSW</v>
          </cell>
          <cell r="E238" t="str">
            <v>Sydney Metro</v>
          </cell>
          <cell r="F238" t="str">
            <v>2LID</v>
          </cell>
          <cell r="G238" t="str">
            <v>Ben Stelzer</v>
          </cell>
          <cell r="H238" t="str">
            <v>NSW Sydney Metro</v>
          </cell>
          <cell r="I238">
            <v>2442</v>
          </cell>
        </row>
        <row r="239">
          <cell r="B239" t="str">
            <v>GOS3</v>
          </cell>
          <cell r="C239" t="str">
            <v>FSAM-2GOS-03</v>
          </cell>
          <cell r="D239" t="str">
            <v>NSW</v>
          </cell>
          <cell r="E239" t="str">
            <v>NSW North</v>
          </cell>
          <cell r="F239" t="str">
            <v>2GOS</v>
          </cell>
          <cell r="G239" t="str">
            <v>Ben Stelzer</v>
          </cell>
          <cell r="H239" t="str">
            <v>NSW Sydney Metro</v>
          </cell>
          <cell r="I239">
            <v>2150</v>
          </cell>
        </row>
        <row r="240">
          <cell r="B240" t="str">
            <v>TOB2</v>
          </cell>
          <cell r="C240" t="str">
            <v>FSAM-4TOB-02</v>
          </cell>
          <cell r="D240" t="str">
            <v>QLD</v>
          </cell>
          <cell r="E240" t="str">
            <v>QLD South</v>
          </cell>
          <cell r="F240" t="str">
            <v>4TOB</v>
          </cell>
          <cell r="G240" t="str">
            <v>Jonathan Cogan</v>
          </cell>
          <cell r="H240" t="str">
            <v>QLD South</v>
          </cell>
          <cell r="I240">
            <v>2441</v>
          </cell>
        </row>
        <row r="241">
          <cell r="B241" t="str">
            <v>GDN3</v>
          </cell>
          <cell r="C241" t="str">
            <v>FSAM-4GDN-03</v>
          </cell>
          <cell r="D241" t="str">
            <v>QLD</v>
          </cell>
          <cell r="E241" t="str">
            <v>Brisbane Metro</v>
          </cell>
          <cell r="F241" t="str">
            <v>4GDN</v>
          </cell>
          <cell r="G241" t="str">
            <v>Jonathan Cogan</v>
          </cell>
          <cell r="H241" t="str">
            <v>QLD Metro</v>
          </cell>
          <cell r="I241">
            <v>2153</v>
          </cell>
        </row>
        <row r="242">
          <cell r="B242" t="str">
            <v>APL4</v>
          </cell>
          <cell r="C242" t="str">
            <v>FSAM-4APL-04</v>
          </cell>
          <cell r="D242" t="str">
            <v>QLD</v>
          </cell>
          <cell r="E242" t="str">
            <v>Brisbane Metro</v>
          </cell>
          <cell r="F242" t="str">
            <v>4APL</v>
          </cell>
          <cell r="G242" t="str">
            <v>Jonathan Cogan</v>
          </cell>
          <cell r="H242" t="str">
            <v>QLD Metro</v>
          </cell>
          <cell r="I242">
            <v>1783</v>
          </cell>
        </row>
        <row r="243">
          <cell r="B243" t="str">
            <v>LJT7</v>
          </cell>
          <cell r="C243" t="str">
            <v>FSAM-2LJT-07</v>
          </cell>
          <cell r="D243" t="str">
            <v>NSW</v>
          </cell>
          <cell r="E243" t="str">
            <v>NSW North</v>
          </cell>
          <cell r="F243" t="str">
            <v>2LJT</v>
          </cell>
          <cell r="G243" t="str">
            <v>Ben Stelzer</v>
          </cell>
          <cell r="H243" t="str">
            <v>NSW Sydney Metro</v>
          </cell>
          <cell r="I243">
            <v>2549</v>
          </cell>
          <cell r="J243" t="str">
            <v>Infotech</v>
          </cell>
        </row>
        <row r="244">
          <cell r="B244" t="str">
            <v>LID4</v>
          </cell>
          <cell r="C244" t="str">
            <v>FSAM-2LID-04</v>
          </cell>
          <cell r="D244" t="str">
            <v>NSW</v>
          </cell>
          <cell r="E244" t="str">
            <v>Sydney Metro</v>
          </cell>
          <cell r="F244" t="str">
            <v>2LID</v>
          </cell>
          <cell r="G244" t="str">
            <v>Ben Stelzer</v>
          </cell>
          <cell r="H244" t="str">
            <v>NSW Sydney Metro</v>
          </cell>
          <cell r="I244">
            <v>2560</v>
          </cell>
        </row>
        <row r="245">
          <cell r="B245" t="str">
            <v>LID2</v>
          </cell>
          <cell r="C245" t="str">
            <v>FSAM-2LID-02</v>
          </cell>
          <cell r="D245" t="str">
            <v>NSW</v>
          </cell>
          <cell r="E245" t="str">
            <v>Sydney Metro</v>
          </cell>
          <cell r="F245" t="str">
            <v>2LID</v>
          </cell>
          <cell r="G245" t="str">
            <v>Ben Stelzer</v>
          </cell>
          <cell r="H245" t="str">
            <v>NSW Sydney Metro</v>
          </cell>
          <cell r="I245">
            <v>2325</v>
          </cell>
        </row>
        <row r="246">
          <cell r="B246" t="str">
            <v>DAP3</v>
          </cell>
          <cell r="C246" t="str">
            <v>FSAM-2DAP-03</v>
          </cell>
          <cell r="D246" t="str">
            <v>NSW</v>
          </cell>
          <cell r="E246" t="str">
            <v>NSW South</v>
          </cell>
          <cell r="F246" t="str">
            <v>2DAP</v>
          </cell>
          <cell r="G246" t="str">
            <v>Damien Marov South</v>
          </cell>
          <cell r="H246" t="str">
            <v>NSW South / ACT</v>
          </cell>
          <cell r="I246">
            <v>2620</v>
          </cell>
        </row>
        <row r="247">
          <cell r="B247" t="str">
            <v>RCH6</v>
          </cell>
          <cell r="C247" t="str">
            <v>FSAM-2RCH-06</v>
          </cell>
          <cell r="D247" t="str">
            <v>NSW</v>
          </cell>
          <cell r="E247" t="str">
            <v>Sydney Metro</v>
          </cell>
          <cell r="F247" t="str">
            <v>2RCH</v>
          </cell>
          <cell r="G247" t="str">
            <v>Damien Marov West</v>
          </cell>
          <cell r="H247" t="str">
            <v>NSW Sydney West</v>
          </cell>
          <cell r="I247">
            <v>2627</v>
          </cell>
        </row>
        <row r="248">
          <cell r="B248" t="str">
            <v>LID6</v>
          </cell>
          <cell r="C248" t="str">
            <v>FSAM-2LID-06</v>
          </cell>
          <cell r="D248" t="str">
            <v>NSW</v>
          </cell>
          <cell r="E248" t="str">
            <v>Sydney Metro</v>
          </cell>
          <cell r="F248" t="str">
            <v>2LID</v>
          </cell>
          <cell r="G248" t="str">
            <v>Ben Stelzer</v>
          </cell>
          <cell r="H248" t="str">
            <v>NSW Sydney Metro</v>
          </cell>
          <cell r="I248">
            <v>2662</v>
          </cell>
          <cell r="J248" t="str">
            <v>Infotech</v>
          </cell>
        </row>
        <row r="249">
          <cell r="B249" t="str">
            <v>HOM2</v>
          </cell>
          <cell r="C249" t="str">
            <v>FSAM-2HOM-02</v>
          </cell>
          <cell r="D249" t="str">
            <v>NSW</v>
          </cell>
          <cell r="E249" t="str">
            <v>Sydney Metro</v>
          </cell>
          <cell r="F249" t="str">
            <v>2HOM</v>
          </cell>
          <cell r="G249" t="str">
            <v>Ben Stelzer</v>
          </cell>
          <cell r="H249" t="str">
            <v>NSW Sydney Metro</v>
          </cell>
          <cell r="I249">
            <v>2514</v>
          </cell>
        </row>
        <row r="250">
          <cell r="B250" t="str">
            <v>CFS6</v>
          </cell>
          <cell r="C250" t="str">
            <v>FSAM-2CFS-06</v>
          </cell>
          <cell r="D250" t="str">
            <v>NSW</v>
          </cell>
          <cell r="E250" t="str">
            <v>NSW North</v>
          </cell>
          <cell r="F250" t="str">
            <v>2CFS</v>
          </cell>
          <cell r="G250" t="str">
            <v>James Herden</v>
          </cell>
          <cell r="H250" t="str">
            <v>NSW North</v>
          </cell>
          <cell r="I250">
            <v>1455</v>
          </cell>
        </row>
        <row r="251">
          <cell r="B251" t="str">
            <v>HOM3</v>
          </cell>
          <cell r="C251" t="str">
            <v>FSAM-2HOM-03</v>
          </cell>
          <cell r="D251" t="str">
            <v>NSW</v>
          </cell>
          <cell r="E251" t="str">
            <v>Sydney Metro</v>
          </cell>
          <cell r="F251" t="str">
            <v>2HOM</v>
          </cell>
          <cell r="G251" t="str">
            <v>Ben Stelzer</v>
          </cell>
          <cell r="H251" t="str">
            <v>NSW Sydney Metro</v>
          </cell>
          <cell r="I251">
            <v>1093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 Raw Data"/>
      <sheetName val="Raw Data - Tailings Pit"/>
      <sheetName val="Raw Data - West Pit"/>
      <sheetName val="Shift Totals"/>
      <sheetName val="24hr Report - Mt Owen"/>
      <sheetName val="24hr Report - Western Pits"/>
      <sheetName val="Daily Coal Target Data"/>
      <sheetName val="MtO Graphs"/>
      <sheetName val="Target Data"/>
      <sheetName val="TP1 Graphs"/>
      <sheetName val="TP1 Target Data NEW"/>
      <sheetName val="TP2 Graphs"/>
      <sheetName val="TP2 Target Data NEW"/>
      <sheetName val="WPT Graphs"/>
      <sheetName val="WPT Target Data NEW"/>
      <sheetName val="FileManagement"/>
    </sheetNames>
    <sheetDataSet>
      <sheetData sheetId="0" refreshError="1"/>
      <sheetData sheetId="1">
        <row r="750">
          <cell r="A750">
            <v>5315</v>
          </cell>
        </row>
      </sheetData>
      <sheetData sheetId="2">
        <row r="3">
          <cell r="GH3" t="str">
            <v>TP1</v>
          </cell>
        </row>
      </sheetData>
      <sheetData sheetId="3">
        <row r="3">
          <cell r="GG3" t="str">
            <v>EXP</v>
          </cell>
        </row>
      </sheetData>
      <sheetData sheetId="4"/>
      <sheetData sheetId="5">
        <row r="2">
          <cell r="A2" t="str">
            <v>Mt Owen Complex - Mt Owen Pit</v>
          </cell>
        </row>
      </sheetData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- FDA"/>
      <sheetName val="SUMMARY - FSA"/>
      <sheetName val="RecAgnstAsBuilt"/>
      <sheetName val="RecIssues"/>
      <sheetName val="FIBRE DISTRIBUTION AREA - FDA"/>
    </sheetNames>
    <sheetDataSet>
      <sheetData sheetId="0"/>
      <sheetData sheetId="1"/>
      <sheetData sheetId="2"/>
      <sheetData sheetId="3"/>
      <sheetData sheetId="4">
        <row r="46">
          <cell r="AH46">
            <v>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 Raw Data"/>
      <sheetName val="Raw Data - Tailings Pit"/>
      <sheetName val="Raw Data - West Pit"/>
      <sheetName val="Shift Totals"/>
      <sheetName val="24hr Report - Mt Owen"/>
      <sheetName val="24hr Report - Western Pits"/>
      <sheetName val="Daily Coal Target Data"/>
      <sheetName val="MtO Graphs"/>
      <sheetName val="Target Data"/>
      <sheetName val="TP1 Graphs"/>
      <sheetName val="TP1 Target Data NEW"/>
      <sheetName val="TP2 Graphs"/>
      <sheetName val="TP2 Target Data NEW"/>
      <sheetName val="WPT Graphs"/>
      <sheetName val="WPT Target Data NEW"/>
      <sheetName val="FileManage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B"/>
      <sheetName val="Sheet1"/>
      <sheetName val="Sheet2"/>
      <sheetName val="Sheet3"/>
      <sheetName val="Ma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nvoices"/>
      <sheetName val="Cash Flow"/>
      <sheetName val="Sub Contractor Cost"/>
      <sheetName val="L1 Summary Pivot"/>
      <sheetName val="Xero Data"/>
      <sheetName val="2BLK-12"/>
      <sheetName val="NBN Minor Works Win Loss"/>
      <sheetName val="NBN NS Inv 2016-17"/>
      <sheetName val="NBN Gfields 2016-17"/>
      <sheetName val="NBN Gfields WIn  Loss"/>
      <sheetName val="SStream Inv 2016-17"/>
      <sheetName val="MWA_MWI Pivot"/>
      <sheetName val="Pipe Invoices 2016-17"/>
      <sheetName val="NBN_MWI &amp; Pipe Data"/>
      <sheetName val="FttC Costing"/>
      <sheetName val="Pivots"/>
      <sheetName val="PC &amp; Payment Dates New Devs"/>
      <sheetName val="PC &amp; Payment NBN Assurance"/>
      <sheetName val="Overhead"/>
      <sheetName val="Indirect DJC"/>
      <sheetName val="Syndeticom Hou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SJV - Jan 13"/>
      <sheetName val="DTSJV - Annual CV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arantee Sched"/>
      <sheetName val="bondsreg"/>
      <sheetName val="EquipmentMovement"/>
    </sheetNames>
    <sheetDataSet>
      <sheetData sheetId="0"/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 File"/>
      <sheetName val="VarianceExport"/>
      <sheetName val="Instructions"/>
      <sheetName val="Variance Codes"/>
      <sheetName val="Variance Report"/>
      <sheetName val="FSAM Summary"/>
      <sheetName val="FSAM Summary D&amp;C"/>
      <sheetName val="FSAM Summary Design"/>
      <sheetName val="Revenue Summary"/>
      <sheetName val="Change Report"/>
      <sheetName val="Design Summary"/>
      <sheetName val="Construction Summary"/>
      <sheetName val="Import Last Months Export File"/>
      <sheetName val="Refresh Last Month Pivot"/>
      <sheetName val="Import JDE Budget"/>
      <sheetName val="Import JDE Actuals"/>
      <sheetName val="Import Priced FSAM Diary"/>
      <sheetName val="EV Import"/>
      <sheetName val="Project Info"/>
      <sheetName val="KIA2"/>
      <sheetName val="KIA3"/>
      <sheetName val="CRC1"/>
      <sheetName val="CRC2"/>
      <sheetName val="CRC3"/>
      <sheetName val="CRC4"/>
      <sheetName val="CRC5"/>
      <sheetName val="CRC6"/>
      <sheetName val="ARM4"/>
      <sheetName val="ARM5"/>
      <sheetName val="ARM6"/>
      <sheetName val="CFS1"/>
      <sheetName val="CFS2"/>
      <sheetName val="CFS3"/>
      <sheetName val="CFS4"/>
      <sheetName val="CFS5"/>
      <sheetName val="CFS6"/>
      <sheetName val="CFS7"/>
      <sheetName val="SAW1"/>
      <sheetName val="SAW2"/>
      <sheetName val="SAW3"/>
      <sheetName val="SAW4"/>
      <sheetName val="APL1"/>
      <sheetName val="APL2"/>
      <sheetName val="APL3"/>
      <sheetName val="APL4"/>
      <sheetName val="APL5"/>
      <sheetName val="APL6"/>
      <sheetName val="GDN1"/>
      <sheetName val="GDN2"/>
      <sheetName val="GDN3"/>
      <sheetName val="GDN4"/>
      <sheetName val="GDN5"/>
      <sheetName val="GDN6"/>
      <sheetName val="GDN7"/>
      <sheetName val="GDN8"/>
      <sheetName val="TOB1"/>
      <sheetName val="TOB2"/>
      <sheetName val="TOB3"/>
      <sheetName val="TOB4"/>
      <sheetName val="TOB5"/>
      <sheetName val="TOB6"/>
      <sheetName val="TOB7"/>
      <sheetName val="TOB8"/>
      <sheetName val="TOB9"/>
      <sheetName val="BLK1"/>
      <sheetName val="BLK2"/>
      <sheetName val="BLK3"/>
      <sheetName val="BLK4"/>
      <sheetName val="BLK5"/>
      <sheetName val="BLK6"/>
      <sheetName val="BLK9"/>
      <sheetName val="GOS1"/>
      <sheetName val="GOS2"/>
      <sheetName val="GOS3"/>
      <sheetName val="GOS4"/>
      <sheetName val="GOS5"/>
      <sheetName val="GOS6"/>
      <sheetName val="GOS7"/>
      <sheetName val="GOS8"/>
      <sheetName val="GUL2"/>
      <sheetName val="GUL3"/>
      <sheetName val="GUL4"/>
      <sheetName val="GUL5"/>
      <sheetName val="GUL6"/>
      <sheetName val="GUL7"/>
      <sheetName val="PTH1"/>
      <sheetName val="PTH2"/>
      <sheetName val="PTH3"/>
      <sheetName val="PTH4"/>
      <sheetName val="PTH5"/>
      <sheetName val="PTH6"/>
      <sheetName val="PTH7"/>
      <sheetName val="HOM1"/>
      <sheetName val="HOM2"/>
      <sheetName val="HOM3"/>
      <sheetName val="HOM4"/>
      <sheetName val="RIV1"/>
      <sheetName val="RIV2"/>
      <sheetName val="RIV3"/>
      <sheetName val="RIV4"/>
      <sheetName val="TNS1"/>
      <sheetName val="TNS2"/>
      <sheetName val="TNS3"/>
      <sheetName val="TNS4"/>
      <sheetName val="TNS5"/>
      <sheetName val="TNS6"/>
      <sheetName val="LID1"/>
      <sheetName val="LID2"/>
      <sheetName val="LID3"/>
      <sheetName val="LID4"/>
      <sheetName val="LID5"/>
      <sheetName val="LID6"/>
      <sheetName val="LID7"/>
      <sheetName val="LID8"/>
      <sheetName val="RCH1"/>
      <sheetName val="RCH2"/>
      <sheetName val="RCH3"/>
      <sheetName val="RCH4"/>
      <sheetName val="RCH5"/>
      <sheetName val="RCH6"/>
      <sheetName val="MAI3"/>
      <sheetName val="MAI7"/>
      <sheetName val="MAI11"/>
      <sheetName val="CAI1"/>
      <sheetName val="CAI2"/>
      <sheetName val="CAI3"/>
      <sheetName val="CAI4"/>
      <sheetName val="CAI5"/>
      <sheetName val="MKY1"/>
      <sheetName val="MKY2"/>
      <sheetName val="MKY3"/>
      <sheetName val="MKY4"/>
      <sheetName val="MKY5"/>
      <sheetName val="MDG1"/>
      <sheetName val="MDG2"/>
      <sheetName val="MDG3"/>
      <sheetName val="TEE2"/>
      <sheetName val="TEE3"/>
      <sheetName val="TEE4"/>
      <sheetName val="TEE5"/>
      <sheetName val="ASH1"/>
      <sheetName val="ASH2"/>
      <sheetName val="ASH3"/>
      <sheetName val="BBE1"/>
      <sheetName val="BDB1"/>
      <sheetName val="BDB2"/>
      <sheetName val="COR4"/>
      <sheetName val="COR5"/>
      <sheetName val="COR6"/>
      <sheetName val="COR7"/>
      <sheetName val="COR8"/>
      <sheetName val="CVI1"/>
      <sheetName val="CVI2"/>
      <sheetName val="CVI3"/>
      <sheetName val="CVI4"/>
      <sheetName val="CVI5"/>
      <sheetName val="DAP1"/>
      <sheetName val="DAP2"/>
      <sheetName val="DAP3"/>
      <sheetName val="DAP4"/>
      <sheetName val="DAP5"/>
      <sheetName val="DAP6"/>
      <sheetName val="IPS2"/>
      <sheetName val="IPS4"/>
      <sheetName val="IPS8"/>
      <sheetName val="KLG1"/>
      <sheetName val="KLG4"/>
      <sheetName val="KLG7"/>
      <sheetName val="LIV4"/>
      <sheetName val="LJT1"/>
      <sheetName val="LJT2"/>
      <sheetName val="LJT3"/>
      <sheetName val="LJT4"/>
      <sheetName val="LJT5"/>
      <sheetName val="LJT6"/>
      <sheetName val="LJT7"/>
      <sheetName val="LJT8"/>
      <sheetName val="LJT9"/>
      <sheetName val="NDG1"/>
      <sheetName val="NDG2"/>
      <sheetName val="NDG3"/>
      <sheetName val="NDG4"/>
      <sheetName val="QBN3"/>
      <sheetName val="QBN4"/>
      <sheetName val="QBN6"/>
      <sheetName val="ROT1"/>
      <sheetName val="ROT2"/>
      <sheetName val="ROT3"/>
      <sheetName val="SLA1"/>
      <sheetName val="SLA2"/>
      <sheetName val="SLA3"/>
      <sheetName val="WAG2"/>
      <sheetName val="WLG1"/>
      <sheetName val="WLG2"/>
      <sheetName val="WLG3"/>
      <sheetName val="WLG4"/>
      <sheetName val="WLG5"/>
      <sheetName val="WLG6"/>
    </sheetNames>
    <sheetDataSet>
      <sheetData sheetId="0"/>
      <sheetData sheetId="1"/>
      <sheetData sheetId="2">
        <row r="4">
          <cell r="F4">
            <v>41360</v>
          </cell>
        </row>
      </sheetData>
      <sheetData sheetId="3">
        <row r="2">
          <cell r="A2">
            <v>0</v>
          </cell>
          <cell r="B2" t="str">
            <v>No relevant code, Comment Required ------&gt;</v>
          </cell>
        </row>
        <row r="3">
          <cell r="A3">
            <v>1</v>
          </cell>
          <cell r="B3" t="str">
            <v>Balancing Figure to be investigated</v>
          </cell>
        </row>
        <row r="4">
          <cell r="A4">
            <v>2</v>
          </cell>
          <cell r="B4" t="str">
            <v>Design efficiency savings</v>
          </cell>
        </row>
        <row r="5">
          <cell r="A5">
            <v>3</v>
          </cell>
          <cell r="B5">
            <v>0</v>
          </cell>
        </row>
        <row r="6">
          <cell r="A6">
            <v>4</v>
          </cell>
          <cell r="B6">
            <v>0</v>
          </cell>
        </row>
        <row r="7">
          <cell r="A7">
            <v>5</v>
          </cell>
          <cell r="B7" t="str">
            <v>BOM Quantity Variance</v>
          </cell>
        </row>
        <row r="8">
          <cell r="A8">
            <v>6</v>
          </cell>
          <cell r="B8" t="str">
            <v>BOQ Quantity Variance</v>
          </cell>
        </row>
        <row r="9">
          <cell r="A9">
            <v>7</v>
          </cell>
          <cell r="B9">
            <v>0</v>
          </cell>
        </row>
        <row r="10">
          <cell r="A10">
            <v>8</v>
          </cell>
          <cell r="B10">
            <v>0</v>
          </cell>
        </row>
        <row r="11">
          <cell r="A11">
            <v>9</v>
          </cell>
          <cell r="B11">
            <v>0</v>
          </cell>
        </row>
        <row r="12">
          <cell r="A12">
            <v>10</v>
          </cell>
          <cell r="B12" t="str">
            <v>Self Performance Productivity (Thiess Boring)</v>
          </cell>
        </row>
        <row r="13">
          <cell r="A13">
            <v>11</v>
          </cell>
          <cell r="B13" t="str">
            <v>Self Performance Productivity (Silcar Splicing)</v>
          </cell>
        </row>
        <row r="14">
          <cell r="A14">
            <v>12</v>
          </cell>
          <cell r="B14" t="str">
            <v>Self Performance Productivity (Labour Hire Civil)</v>
          </cell>
        </row>
        <row r="15">
          <cell r="A15">
            <v>13</v>
          </cell>
          <cell r="B15" t="str">
            <v>Self Performance Productivity (Thiess Energy)</v>
          </cell>
        </row>
        <row r="16">
          <cell r="A16">
            <v>14</v>
          </cell>
          <cell r="B16">
            <v>0</v>
          </cell>
        </row>
        <row r="17">
          <cell r="A17">
            <v>15</v>
          </cell>
          <cell r="B17" t="str">
            <v>Defect Rectification</v>
          </cell>
        </row>
        <row r="18">
          <cell r="A18">
            <v>16</v>
          </cell>
          <cell r="B18">
            <v>0</v>
          </cell>
        </row>
        <row r="19">
          <cell r="A19">
            <v>17</v>
          </cell>
          <cell r="B19">
            <v>0</v>
          </cell>
        </row>
        <row r="20">
          <cell r="A20">
            <v>18</v>
          </cell>
          <cell r="B20">
            <v>0</v>
          </cell>
        </row>
        <row r="21">
          <cell r="A21">
            <v>19</v>
          </cell>
          <cell r="B21">
            <v>0</v>
          </cell>
        </row>
        <row r="22">
          <cell r="A22">
            <v>20</v>
          </cell>
          <cell r="B22" t="str">
            <v>Multi Hauling Dispute</v>
          </cell>
        </row>
        <row r="23">
          <cell r="A23">
            <v>21</v>
          </cell>
          <cell r="B23" t="str">
            <v>OTDR Dispute</v>
          </cell>
        </row>
        <row r="24">
          <cell r="A24">
            <v>22</v>
          </cell>
          <cell r="B24" t="str">
            <v>Self remediation</v>
          </cell>
        </row>
        <row r="25">
          <cell r="A25">
            <v>23</v>
          </cell>
          <cell r="B25">
            <v>0</v>
          </cell>
        </row>
        <row r="26">
          <cell r="A26">
            <v>24</v>
          </cell>
          <cell r="B26">
            <v>0</v>
          </cell>
        </row>
        <row r="27">
          <cell r="A27">
            <v>25</v>
          </cell>
          <cell r="B27">
            <v>0</v>
          </cell>
        </row>
        <row r="28">
          <cell r="A28">
            <v>26</v>
          </cell>
          <cell r="B28">
            <v>0</v>
          </cell>
        </row>
        <row r="29">
          <cell r="A29">
            <v>27</v>
          </cell>
          <cell r="B29">
            <v>0</v>
          </cell>
        </row>
        <row r="30">
          <cell r="A30">
            <v>28</v>
          </cell>
          <cell r="B30">
            <v>0</v>
          </cell>
        </row>
        <row r="31">
          <cell r="A31">
            <v>29</v>
          </cell>
          <cell r="B31">
            <v>0</v>
          </cell>
        </row>
        <row r="32">
          <cell r="A32">
            <v>30</v>
          </cell>
          <cell r="B32" t="str">
            <v>LAHFA Payments made extra to Subcontract</v>
          </cell>
        </row>
        <row r="33">
          <cell r="A33">
            <v>31</v>
          </cell>
          <cell r="B33" t="str">
            <v>Minimum shot bore payments made</v>
          </cell>
        </row>
        <row r="34">
          <cell r="A34">
            <v>32</v>
          </cell>
          <cell r="B34" t="str">
            <v>Services search performed by Silcar</v>
          </cell>
        </row>
        <row r="35">
          <cell r="A35">
            <v>33</v>
          </cell>
          <cell r="B35" t="str">
            <v>Cut ins performed for subcontractor</v>
          </cell>
        </row>
        <row r="36">
          <cell r="A36">
            <v>34</v>
          </cell>
          <cell r="B36" t="str">
            <v>Subcontractor paid hourly</v>
          </cell>
        </row>
        <row r="37">
          <cell r="A37">
            <v>35</v>
          </cell>
          <cell r="B37" t="str">
            <v>Other costs in support of subcontractors</v>
          </cell>
        </row>
        <row r="38">
          <cell r="A38">
            <v>36</v>
          </cell>
          <cell r="B38" t="str">
            <v>US Splicing Crews</v>
          </cell>
        </row>
        <row r="39">
          <cell r="A39">
            <v>37</v>
          </cell>
          <cell r="B39">
            <v>0</v>
          </cell>
        </row>
        <row r="40">
          <cell r="A40">
            <v>38</v>
          </cell>
          <cell r="B40">
            <v>0</v>
          </cell>
        </row>
        <row r="41">
          <cell r="A41">
            <v>39</v>
          </cell>
          <cell r="B41">
            <v>0</v>
          </cell>
        </row>
        <row r="42">
          <cell r="A42">
            <v>40</v>
          </cell>
          <cell r="B42">
            <v>0</v>
          </cell>
        </row>
        <row r="43">
          <cell r="A43">
            <v>41</v>
          </cell>
          <cell r="B43">
            <v>0</v>
          </cell>
        </row>
        <row r="44">
          <cell r="A44">
            <v>42</v>
          </cell>
          <cell r="B44">
            <v>0</v>
          </cell>
        </row>
        <row r="45">
          <cell r="A45">
            <v>43</v>
          </cell>
          <cell r="B45">
            <v>0</v>
          </cell>
        </row>
        <row r="46">
          <cell r="A46">
            <v>44</v>
          </cell>
          <cell r="B46">
            <v>0</v>
          </cell>
        </row>
        <row r="47">
          <cell r="A47">
            <v>45</v>
          </cell>
          <cell r="B47">
            <v>0</v>
          </cell>
        </row>
        <row r="48">
          <cell r="A48">
            <v>46</v>
          </cell>
          <cell r="B48">
            <v>0</v>
          </cell>
        </row>
        <row r="49">
          <cell r="A49">
            <v>47</v>
          </cell>
          <cell r="B49">
            <v>0</v>
          </cell>
        </row>
        <row r="50">
          <cell r="A50">
            <v>48</v>
          </cell>
          <cell r="B50">
            <v>0</v>
          </cell>
        </row>
        <row r="51">
          <cell r="A51">
            <v>49</v>
          </cell>
          <cell r="B51">
            <v>0</v>
          </cell>
        </row>
        <row r="52">
          <cell r="A52">
            <v>50</v>
          </cell>
          <cell r="B52">
            <v>0</v>
          </cell>
        </row>
        <row r="53">
          <cell r="A53">
            <v>51</v>
          </cell>
          <cell r="B53">
            <v>0</v>
          </cell>
        </row>
        <row r="54">
          <cell r="A54">
            <v>52</v>
          </cell>
          <cell r="B54">
            <v>0</v>
          </cell>
        </row>
        <row r="55">
          <cell r="A55">
            <v>53</v>
          </cell>
          <cell r="B55">
            <v>0</v>
          </cell>
        </row>
        <row r="56">
          <cell r="A56">
            <v>54</v>
          </cell>
          <cell r="B56">
            <v>0</v>
          </cell>
        </row>
        <row r="57">
          <cell r="A57">
            <v>55</v>
          </cell>
          <cell r="B57">
            <v>0</v>
          </cell>
        </row>
        <row r="58">
          <cell r="A58">
            <v>56</v>
          </cell>
          <cell r="B58">
            <v>0</v>
          </cell>
        </row>
        <row r="59">
          <cell r="A59">
            <v>57</v>
          </cell>
          <cell r="B59">
            <v>0</v>
          </cell>
        </row>
        <row r="60">
          <cell r="A60">
            <v>58</v>
          </cell>
          <cell r="B60">
            <v>0</v>
          </cell>
        </row>
        <row r="61">
          <cell r="A61">
            <v>59</v>
          </cell>
          <cell r="B61">
            <v>0</v>
          </cell>
        </row>
        <row r="62">
          <cell r="A62">
            <v>60</v>
          </cell>
          <cell r="B62">
            <v>0</v>
          </cell>
        </row>
        <row r="63">
          <cell r="A63">
            <v>61</v>
          </cell>
          <cell r="B63">
            <v>0</v>
          </cell>
        </row>
        <row r="64">
          <cell r="A64">
            <v>62</v>
          </cell>
          <cell r="B64">
            <v>0</v>
          </cell>
        </row>
        <row r="65">
          <cell r="A65">
            <v>63</v>
          </cell>
          <cell r="B65">
            <v>0</v>
          </cell>
        </row>
        <row r="66">
          <cell r="A66">
            <v>64</v>
          </cell>
          <cell r="B66">
            <v>0</v>
          </cell>
        </row>
        <row r="67">
          <cell r="A67">
            <v>65</v>
          </cell>
          <cell r="B67">
            <v>0</v>
          </cell>
        </row>
        <row r="68">
          <cell r="A68">
            <v>66</v>
          </cell>
          <cell r="B68">
            <v>0</v>
          </cell>
        </row>
        <row r="69">
          <cell r="A69">
            <v>67</v>
          </cell>
          <cell r="B69">
            <v>0</v>
          </cell>
        </row>
        <row r="70">
          <cell r="A70">
            <v>68</v>
          </cell>
          <cell r="B70">
            <v>0</v>
          </cell>
        </row>
        <row r="71">
          <cell r="A71">
            <v>69</v>
          </cell>
          <cell r="B71">
            <v>0</v>
          </cell>
        </row>
        <row r="72">
          <cell r="A72">
            <v>70</v>
          </cell>
          <cell r="B72">
            <v>0</v>
          </cell>
        </row>
        <row r="73">
          <cell r="A73">
            <v>71</v>
          </cell>
          <cell r="B73">
            <v>0</v>
          </cell>
        </row>
        <row r="74">
          <cell r="A74">
            <v>72</v>
          </cell>
          <cell r="B74">
            <v>0</v>
          </cell>
        </row>
        <row r="75">
          <cell r="A75">
            <v>73</v>
          </cell>
          <cell r="B75">
            <v>0</v>
          </cell>
        </row>
        <row r="76">
          <cell r="A76">
            <v>74</v>
          </cell>
          <cell r="B76">
            <v>0</v>
          </cell>
        </row>
        <row r="77">
          <cell r="A77">
            <v>75</v>
          </cell>
          <cell r="B77">
            <v>0</v>
          </cell>
        </row>
        <row r="78">
          <cell r="A78">
            <v>76</v>
          </cell>
          <cell r="B78">
            <v>0</v>
          </cell>
        </row>
        <row r="79">
          <cell r="A79">
            <v>77</v>
          </cell>
          <cell r="B79">
            <v>0</v>
          </cell>
        </row>
        <row r="80">
          <cell r="A80">
            <v>78</v>
          </cell>
          <cell r="B80">
            <v>0</v>
          </cell>
        </row>
        <row r="81">
          <cell r="A81">
            <v>79</v>
          </cell>
          <cell r="B81">
            <v>0</v>
          </cell>
        </row>
        <row r="82">
          <cell r="A82">
            <v>80</v>
          </cell>
          <cell r="B82">
            <v>0</v>
          </cell>
        </row>
        <row r="83">
          <cell r="A83">
            <v>81</v>
          </cell>
          <cell r="B83">
            <v>0</v>
          </cell>
        </row>
        <row r="84">
          <cell r="A84">
            <v>82</v>
          </cell>
          <cell r="B84">
            <v>0</v>
          </cell>
        </row>
        <row r="85">
          <cell r="A85">
            <v>83</v>
          </cell>
          <cell r="B85">
            <v>0</v>
          </cell>
        </row>
        <row r="86">
          <cell r="A86">
            <v>84</v>
          </cell>
          <cell r="B86">
            <v>0</v>
          </cell>
        </row>
        <row r="87">
          <cell r="A87">
            <v>85</v>
          </cell>
          <cell r="B87">
            <v>0</v>
          </cell>
        </row>
        <row r="88">
          <cell r="A88">
            <v>86</v>
          </cell>
          <cell r="B88">
            <v>0</v>
          </cell>
        </row>
        <row r="89">
          <cell r="A89">
            <v>87</v>
          </cell>
          <cell r="B89">
            <v>0</v>
          </cell>
        </row>
        <row r="90">
          <cell r="A90">
            <v>88</v>
          </cell>
          <cell r="B90">
            <v>0</v>
          </cell>
        </row>
        <row r="91">
          <cell r="A91">
            <v>89</v>
          </cell>
          <cell r="B91">
            <v>0</v>
          </cell>
        </row>
        <row r="92">
          <cell r="A92">
            <v>90</v>
          </cell>
          <cell r="B92">
            <v>0</v>
          </cell>
        </row>
        <row r="93">
          <cell r="A93">
            <v>91</v>
          </cell>
          <cell r="B93">
            <v>0</v>
          </cell>
        </row>
        <row r="94">
          <cell r="A94">
            <v>92</v>
          </cell>
          <cell r="B94">
            <v>0</v>
          </cell>
        </row>
        <row r="95">
          <cell r="A95">
            <v>93</v>
          </cell>
          <cell r="B95">
            <v>0</v>
          </cell>
        </row>
        <row r="96">
          <cell r="A96">
            <v>94</v>
          </cell>
          <cell r="B96">
            <v>0</v>
          </cell>
        </row>
        <row r="97">
          <cell r="A97">
            <v>95</v>
          </cell>
          <cell r="B97">
            <v>0</v>
          </cell>
        </row>
        <row r="98">
          <cell r="A98">
            <v>96</v>
          </cell>
          <cell r="B98">
            <v>0</v>
          </cell>
        </row>
        <row r="99">
          <cell r="A99">
            <v>97</v>
          </cell>
          <cell r="B99">
            <v>0</v>
          </cell>
        </row>
        <row r="100">
          <cell r="A100">
            <v>98</v>
          </cell>
          <cell r="B100">
            <v>0</v>
          </cell>
        </row>
        <row r="101">
          <cell r="A101">
            <v>99</v>
          </cell>
          <cell r="B101">
            <v>0</v>
          </cell>
        </row>
        <row r="102">
          <cell r="A102">
            <v>100</v>
          </cell>
          <cell r="B10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Column Labels</v>
          </cell>
        </row>
        <row r="2">
          <cell r="B2" t="str">
            <v>Group1</v>
          </cell>
          <cell r="D2" t="str">
            <v>Specified Materials</v>
          </cell>
        </row>
        <row r="3">
          <cell r="D3" t="str">
            <v>Specified Materials</v>
          </cell>
        </row>
        <row r="4">
          <cell r="A4" t="str">
            <v>Row Labels</v>
          </cell>
          <cell r="B4" t="str">
            <v>Sum of DJC Amount</v>
          </cell>
          <cell r="C4" t="str">
            <v>Sum of Extended Price</v>
          </cell>
          <cell r="D4" t="str">
            <v>Sum of DJC Amount</v>
          </cell>
          <cell r="E4" t="str">
            <v>Sum of Extended Price</v>
          </cell>
        </row>
        <row r="5">
          <cell r="A5" t="str">
            <v>AARAARDD</v>
          </cell>
          <cell r="B5">
            <v>4598.9300880396313</v>
          </cell>
          <cell r="C5">
            <v>6736.28</v>
          </cell>
        </row>
        <row r="6">
          <cell r="A6" t="str">
            <v>ACOCPTDD</v>
          </cell>
          <cell r="B6">
            <v>18346.131800000003</v>
          </cell>
          <cell r="C6">
            <v>26397.730000000003</v>
          </cell>
        </row>
        <row r="7">
          <cell r="A7" t="str">
            <v>AIRWDWDD</v>
          </cell>
          <cell r="B7">
            <v>9487.2484000000004</v>
          </cell>
          <cell r="C7">
            <v>14342.3</v>
          </cell>
        </row>
        <row r="8">
          <cell r="A8" t="str">
            <v>APL1</v>
          </cell>
          <cell r="B8">
            <v>908375.24480975885</v>
          </cell>
          <cell r="C8">
            <v>1373964.55</v>
          </cell>
          <cell r="D8">
            <v>903038.48</v>
          </cell>
          <cell r="E8">
            <v>1001469.67</v>
          </cell>
        </row>
        <row r="9">
          <cell r="A9" t="str">
            <v>APL1DD</v>
          </cell>
          <cell r="B9">
            <v>106637.11884368942</v>
          </cell>
          <cell r="C9">
            <v>157287.54</v>
          </cell>
        </row>
        <row r="10">
          <cell r="A10" t="str">
            <v>APL2</v>
          </cell>
          <cell r="B10">
            <v>641975.5748301117</v>
          </cell>
          <cell r="C10">
            <v>972605.12999999977</v>
          </cell>
          <cell r="D10">
            <v>594673.18999999994</v>
          </cell>
          <cell r="E10">
            <v>659492.57999999996</v>
          </cell>
        </row>
        <row r="11">
          <cell r="A11" t="str">
            <v>APL2DD</v>
          </cell>
          <cell r="B11">
            <v>75361.33465727992</v>
          </cell>
          <cell r="C11">
            <v>110302.68999999999</v>
          </cell>
        </row>
        <row r="12">
          <cell r="A12" t="str">
            <v>APL3</v>
          </cell>
          <cell r="B12">
            <v>595192.28010840283</v>
          </cell>
          <cell r="C12">
            <v>887393.53000000014</v>
          </cell>
          <cell r="D12">
            <v>683189.41</v>
          </cell>
          <cell r="E12">
            <v>757657.05</v>
          </cell>
        </row>
        <row r="13">
          <cell r="A13" t="str">
            <v>APL3DD</v>
          </cell>
          <cell r="B13">
            <v>91869.968843689421</v>
          </cell>
          <cell r="C13">
            <v>134913</v>
          </cell>
        </row>
        <row r="14">
          <cell r="A14" t="str">
            <v>APL4</v>
          </cell>
          <cell r="B14">
            <v>570725.1960723321</v>
          </cell>
          <cell r="C14">
            <v>875741.21</v>
          </cell>
          <cell r="D14">
            <v>664470.47</v>
          </cell>
          <cell r="E14">
            <v>736897.75</v>
          </cell>
        </row>
        <row r="15">
          <cell r="A15" t="str">
            <v>APL4DD</v>
          </cell>
          <cell r="B15">
            <v>71328.232344658754</v>
          </cell>
          <cell r="C15">
            <v>105221.69</v>
          </cell>
        </row>
        <row r="16">
          <cell r="A16" t="str">
            <v>APL5DD</v>
          </cell>
          <cell r="B16">
            <v>149635.79305162159</v>
          </cell>
          <cell r="C16">
            <v>221036.84</v>
          </cell>
        </row>
        <row r="17">
          <cell r="A17" t="str">
            <v>APL6DD</v>
          </cell>
          <cell r="B17">
            <v>113709.99656310584</v>
          </cell>
          <cell r="C17">
            <v>167659.09</v>
          </cell>
        </row>
        <row r="18">
          <cell r="A18" t="str">
            <v>APLAPLDD</v>
          </cell>
          <cell r="B18">
            <v>14676.993315215852</v>
          </cell>
          <cell r="C18">
            <v>21187.809999999998</v>
          </cell>
        </row>
        <row r="19">
          <cell r="A19" t="str">
            <v>APLCHDDD</v>
          </cell>
          <cell r="B19">
            <v>40811.958427176221</v>
          </cell>
          <cell r="C19">
            <v>58958.61</v>
          </cell>
        </row>
        <row r="20">
          <cell r="A20" t="str">
            <v>ARM4</v>
          </cell>
          <cell r="B20">
            <v>1182242.1210953076</v>
          </cell>
          <cell r="C20">
            <v>1615173.5499999998</v>
          </cell>
          <cell r="D20">
            <v>0</v>
          </cell>
          <cell r="E20">
            <v>410281</v>
          </cell>
        </row>
        <row r="21">
          <cell r="A21" t="str">
            <v>ARM5</v>
          </cell>
          <cell r="B21">
            <v>1014395.3577648271</v>
          </cell>
          <cell r="C21">
            <v>1386146.75</v>
          </cell>
          <cell r="D21">
            <v>0</v>
          </cell>
          <cell r="E21">
            <v>329464.7</v>
          </cell>
        </row>
        <row r="22">
          <cell r="A22" t="str">
            <v>ARM6</v>
          </cell>
          <cell r="B22">
            <v>1270631.8291322966</v>
          </cell>
          <cell r="C22">
            <v>1751426.1400000004</v>
          </cell>
          <cell r="D22">
            <v>0</v>
          </cell>
          <cell r="E22">
            <v>335717.78</v>
          </cell>
        </row>
        <row r="23">
          <cell r="A23" t="str">
            <v>ARMFAN</v>
          </cell>
          <cell r="B23">
            <v>610997.63</v>
          </cell>
          <cell r="C23">
            <v>610997.63</v>
          </cell>
        </row>
        <row r="24">
          <cell r="A24" t="str">
            <v>ASH1DD</v>
          </cell>
          <cell r="B24">
            <v>146659.23000000001</v>
          </cell>
          <cell r="C24">
            <v>215623.64</v>
          </cell>
        </row>
        <row r="25">
          <cell r="A25" t="str">
            <v>ASH2DD</v>
          </cell>
          <cell r="B25">
            <v>110155.16581359052</v>
          </cell>
          <cell r="C25">
            <v>162398.41</v>
          </cell>
        </row>
        <row r="26">
          <cell r="A26" t="str">
            <v>ASH3DD</v>
          </cell>
          <cell r="B26">
            <v>123019.48187378833</v>
          </cell>
          <cell r="C26">
            <v>181213.33000000002</v>
          </cell>
        </row>
        <row r="27">
          <cell r="A27" t="str">
            <v>ASHMGTDD</v>
          </cell>
          <cell r="B27">
            <v>7249.3202000000001</v>
          </cell>
          <cell r="C27">
            <v>10529.57</v>
          </cell>
        </row>
        <row r="28">
          <cell r="A28" t="str">
            <v>ASHNETDD</v>
          </cell>
          <cell r="B28">
            <v>12774.519888039631</v>
          </cell>
          <cell r="C28">
            <v>18527.309999999998</v>
          </cell>
        </row>
        <row r="29">
          <cell r="A29" t="str">
            <v>AYRAYWDD</v>
          </cell>
          <cell r="B29">
            <v>3184.3384000000001</v>
          </cell>
          <cell r="C29">
            <v>4941.6000000000004</v>
          </cell>
        </row>
        <row r="30">
          <cell r="A30" t="str">
            <v>AYRBRWDD</v>
          </cell>
          <cell r="B30">
            <v>14394.275799999999</v>
          </cell>
          <cell r="C30">
            <v>22687.040000000001</v>
          </cell>
        </row>
        <row r="31">
          <cell r="A31" t="str">
            <v>BLK1</v>
          </cell>
          <cell r="B31">
            <v>707854.73784987652</v>
          </cell>
          <cell r="C31">
            <v>993101.94000000006</v>
          </cell>
          <cell r="D31">
            <v>673638.8</v>
          </cell>
          <cell r="E31">
            <v>747065.43</v>
          </cell>
        </row>
        <row r="32">
          <cell r="A32" t="str">
            <v>BLK1DD</v>
          </cell>
          <cell r="B32">
            <v>169647.72</v>
          </cell>
          <cell r="C32">
            <v>208462.43</v>
          </cell>
        </row>
        <row r="33">
          <cell r="A33" t="str">
            <v>BLK2</v>
          </cell>
          <cell r="B33">
            <v>953271.15890220308</v>
          </cell>
          <cell r="C33">
            <v>1350518.3</v>
          </cell>
          <cell r="D33">
            <v>1002643.36</v>
          </cell>
          <cell r="E33">
            <v>1111931.49</v>
          </cell>
        </row>
        <row r="34">
          <cell r="A34" t="str">
            <v>BLK2DD</v>
          </cell>
          <cell r="B34">
            <v>154480.83318291465</v>
          </cell>
          <cell r="C34">
            <v>223453.73</v>
          </cell>
        </row>
        <row r="35">
          <cell r="A35" t="str">
            <v>BLK3</v>
          </cell>
          <cell r="B35">
            <v>1078427.455319385</v>
          </cell>
          <cell r="C35">
            <v>1512461.4700000002</v>
          </cell>
          <cell r="D35">
            <v>986740.07</v>
          </cell>
          <cell r="E35">
            <v>1094294.73</v>
          </cell>
        </row>
        <row r="36">
          <cell r="A36" t="str">
            <v>BLK3DD</v>
          </cell>
          <cell r="B36">
            <v>161987.91199999998</v>
          </cell>
          <cell r="C36">
            <v>228095.86</v>
          </cell>
        </row>
        <row r="37">
          <cell r="A37" t="str">
            <v>BLK4DD</v>
          </cell>
          <cell r="B37">
            <v>158484.1452595836</v>
          </cell>
          <cell r="C37">
            <v>227046.86000000002</v>
          </cell>
        </row>
        <row r="38">
          <cell r="A38" t="str">
            <v>BLK5DD</v>
          </cell>
          <cell r="B38">
            <v>133521.47</v>
          </cell>
          <cell r="C38">
            <v>195443.25</v>
          </cell>
        </row>
        <row r="39">
          <cell r="A39" t="str">
            <v>BLK6DD</v>
          </cell>
          <cell r="B39">
            <v>149867.52459583621</v>
          </cell>
          <cell r="C39">
            <v>219233.16</v>
          </cell>
        </row>
        <row r="40">
          <cell r="A40" t="str">
            <v>BLK9DD</v>
          </cell>
          <cell r="B40">
            <v>176471.10059583621</v>
          </cell>
          <cell r="C40">
            <v>256962.63999999998</v>
          </cell>
        </row>
        <row r="41">
          <cell r="A41" t="str">
            <v>BRAIPTDD</v>
          </cell>
          <cell r="B41">
            <v>9617.1991624275524</v>
          </cell>
          <cell r="C41">
            <v>14811.93</v>
          </cell>
        </row>
        <row r="42">
          <cell r="A42" t="str">
            <v>BRAMRTDD</v>
          </cell>
          <cell r="B42">
            <v>20448.484799999998</v>
          </cell>
          <cell r="C42">
            <v>31427.599999999999</v>
          </cell>
        </row>
        <row r="43">
          <cell r="A43" t="str">
            <v>BURSLTDD</v>
          </cell>
          <cell r="B43">
            <v>7858.0785906636684</v>
          </cell>
          <cell r="C43">
            <v>11327.11</v>
          </cell>
        </row>
        <row r="44">
          <cell r="A44" t="str">
            <v>BWEBOWDD</v>
          </cell>
          <cell r="B44">
            <v>4521.0928000000004</v>
          </cell>
          <cell r="C44">
            <v>7057.9</v>
          </cell>
        </row>
        <row r="45">
          <cell r="A45" t="str">
            <v>CAI1</v>
          </cell>
          <cell r="B45">
            <v>206458.06516699551</v>
          </cell>
          <cell r="C45">
            <v>344478.4</v>
          </cell>
          <cell r="D45">
            <v>375603.67599999998</v>
          </cell>
          <cell r="E45">
            <v>402329.32</v>
          </cell>
        </row>
        <row r="46">
          <cell r="A46" t="str">
            <v>CAI1DD</v>
          </cell>
          <cell r="B46">
            <v>30432.859508407113</v>
          </cell>
          <cell r="C46">
            <v>47126.45</v>
          </cell>
        </row>
        <row r="47">
          <cell r="A47" t="str">
            <v>CAI2DD</v>
          </cell>
          <cell r="B47">
            <v>199845.28099439526</v>
          </cell>
          <cell r="C47">
            <v>300172.95</v>
          </cell>
        </row>
        <row r="48">
          <cell r="A48" t="str">
            <v>CAI3DD</v>
          </cell>
          <cell r="B48">
            <v>101065.92451401184</v>
          </cell>
          <cell r="C48">
            <v>145943.51</v>
          </cell>
        </row>
        <row r="49">
          <cell r="A49" t="str">
            <v>CFS1</v>
          </cell>
          <cell r="B49">
            <v>804052.64945565327</v>
          </cell>
          <cell r="C49">
            <v>1332643.6999999983</v>
          </cell>
        </row>
        <row r="50">
          <cell r="A50" t="str">
            <v>CFS2</v>
          </cell>
          <cell r="B50">
            <v>513156.50840711314</v>
          </cell>
          <cell r="C50">
            <v>873787.41999999946</v>
          </cell>
        </row>
        <row r="51">
          <cell r="A51" t="str">
            <v>CFS3</v>
          </cell>
          <cell r="B51">
            <v>1138050.9452433905</v>
          </cell>
          <cell r="C51">
            <v>1718696.9100000001</v>
          </cell>
          <cell r="D51">
            <v>828265.76142857142</v>
          </cell>
          <cell r="E51">
            <v>886088.09000000008</v>
          </cell>
        </row>
        <row r="52">
          <cell r="A52" t="str">
            <v>CFS3DD</v>
          </cell>
          <cell r="B52">
            <v>143557.3965141743</v>
          </cell>
          <cell r="C52">
            <v>184738.52</v>
          </cell>
        </row>
        <row r="53">
          <cell r="A53" t="str">
            <v>CFS4</v>
          </cell>
          <cell r="B53">
            <v>834656.87497565069</v>
          </cell>
          <cell r="C53">
            <v>1283264.8399999999</v>
          </cell>
          <cell r="D53">
            <v>704828.45428571431</v>
          </cell>
          <cell r="E53">
            <v>754033.46000000008</v>
          </cell>
        </row>
        <row r="54">
          <cell r="A54" t="str">
            <v>CFS4DD</v>
          </cell>
          <cell r="B54">
            <v>160359.70241133944</v>
          </cell>
          <cell r="C54">
            <v>223237.64</v>
          </cell>
        </row>
        <row r="55">
          <cell r="A55" t="str">
            <v>CFS5</v>
          </cell>
          <cell r="B55">
            <v>1090022.4131100054</v>
          </cell>
          <cell r="C55">
            <v>1666593.0799999998</v>
          </cell>
          <cell r="D55">
            <v>924279.73</v>
          </cell>
          <cell r="E55">
            <v>988804.91999999993</v>
          </cell>
        </row>
        <row r="56">
          <cell r="A56" t="str">
            <v>CFS5DD</v>
          </cell>
          <cell r="B56">
            <v>148583.44651417431</v>
          </cell>
          <cell r="C56">
            <v>215797.18</v>
          </cell>
        </row>
        <row r="57">
          <cell r="A57" t="str">
            <v>CFS6DD</v>
          </cell>
          <cell r="B57">
            <v>159115.98694858255</v>
          </cell>
          <cell r="C57">
            <v>247195.69</v>
          </cell>
        </row>
        <row r="58">
          <cell r="A58" t="str">
            <v>CFS7DD</v>
          </cell>
          <cell r="B58">
            <v>183969.97769149538</v>
          </cell>
          <cell r="C58">
            <v>280107.55000000005</v>
          </cell>
        </row>
        <row r="59">
          <cell r="A59" t="str">
            <v>CFSWWDD</v>
          </cell>
          <cell r="B59">
            <v>6087.2536</v>
          </cell>
          <cell r="C59">
            <v>9662.1</v>
          </cell>
        </row>
        <row r="60">
          <cell r="A60" t="str">
            <v>CLICFWDD</v>
          </cell>
          <cell r="B60">
            <v>4141.18</v>
          </cell>
          <cell r="C60">
            <v>6464.3</v>
          </cell>
        </row>
        <row r="61">
          <cell r="A61" t="str">
            <v>COR11DD</v>
          </cell>
          <cell r="B61">
            <v>140301.91309907869</v>
          </cell>
          <cell r="C61">
            <v>205602.8</v>
          </cell>
        </row>
        <row r="62">
          <cell r="A62" t="str">
            <v>COR4DD</v>
          </cell>
          <cell r="B62">
            <v>129622.92999999996</v>
          </cell>
          <cell r="C62">
            <v>191907.03999999998</v>
          </cell>
        </row>
        <row r="63">
          <cell r="A63" t="str">
            <v>COR5DD</v>
          </cell>
          <cell r="B63">
            <v>148605.54868116256</v>
          </cell>
          <cell r="C63">
            <v>220328.85</v>
          </cell>
        </row>
        <row r="64">
          <cell r="A64" t="str">
            <v>COR6DD</v>
          </cell>
          <cell r="B64">
            <v>154060.78528788468</v>
          </cell>
          <cell r="C64">
            <v>229055.05</v>
          </cell>
        </row>
        <row r="65">
          <cell r="A65" t="str">
            <v>COR7DD</v>
          </cell>
          <cell r="B65">
            <v>130705.82220360782</v>
          </cell>
          <cell r="C65">
            <v>192716.05</v>
          </cell>
        </row>
        <row r="66">
          <cell r="A66" t="str">
            <v>COR8DD</v>
          </cell>
          <cell r="B66">
            <v>146387.02999999997</v>
          </cell>
          <cell r="C66">
            <v>218051.84</v>
          </cell>
        </row>
        <row r="67">
          <cell r="A67" t="str">
            <v>CPHACTDD</v>
          </cell>
          <cell r="B67">
            <v>18966.685288039633</v>
          </cell>
          <cell r="C67">
            <v>27406.5</v>
          </cell>
        </row>
        <row r="68">
          <cell r="A68" t="str">
            <v>CRC1</v>
          </cell>
          <cell r="B68">
            <v>597923.92388799042</v>
          </cell>
          <cell r="C68">
            <v>990178.87</v>
          </cell>
          <cell r="D68">
            <v>1243000.93</v>
          </cell>
          <cell r="E68">
            <v>1378488.03</v>
          </cell>
        </row>
        <row r="69">
          <cell r="A69" t="str">
            <v>CRC1DD</v>
          </cell>
          <cell r="B69">
            <v>258486.63351409306</v>
          </cell>
          <cell r="C69">
            <v>353116.27999999997</v>
          </cell>
        </row>
        <row r="70">
          <cell r="A70" t="str">
            <v>CRC2</v>
          </cell>
          <cell r="B70">
            <v>490717.73452384485</v>
          </cell>
          <cell r="C70">
            <v>822199.15999999992</v>
          </cell>
          <cell r="D70">
            <v>1179083.28</v>
          </cell>
          <cell r="E70">
            <v>1307603.3600000001</v>
          </cell>
        </row>
        <row r="71">
          <cell r="A71" t="str">
            <v>CRC2DD</v>
          </cell>
          <cell r="B71">
            <v>244130.26505986514</v>
          </cell>
          <cell r="C71">
            <v>340521.47</v>
          </cell>
        </row>
        <row r="72">
          <cell r="A72" t="str">
            <v>CRC3</v>
          </cell>
          <cell r="B72">
            <v>1196618.5715201842</v>
          </cell>
          <cell r="C72">
            <v>1978160.34</v>
          </cell>
          <cell r="D72">
            <v>1021175.96</v>
          </cell>
          <cell r="E72">
            <v>1132484.1399999999</v>
          </cell>
        </row>
        <row r="73">
          <cell r="A73" t="str">
            <v>CRC3DD</v>
          </cell>
          <cell r="B73">
            <v>191900.38324295345</v>
          </cell>
          <cell r="C73">
            <v>272852.86</v>
          </cell>
        </row>
        <row r="74">
          <cell r="A74" t="str">
            <v>CRC4</v>
          </cell>
          <cell r="B74">
            <v>490937.13930665259</v>
          </cell>
          <cell r="C74">
            <v>822223.16999999969</v>
          </cell>
          <cell r="D74">
            <v>1052224.7340000002</v>
          </cell>
          <cell r="E74">
            <v>1127094.57</v>
          </cell>
        </row>
        <row r="75">
          <cell r="A75" t="str">
            <v>CRC4DD</v>
          </cell>
          <cell r="B75">
            <v>170554.71690845586</v>
          </cell>
          <cell r="C75">
            <v>244995.90000000002</v>
          </cell>
        </row>
        <row r="76">
          <cell r="A76" t="str">
            <v>CRC5</v>
          </cell>
          <cell r="B76">
            <v>590561.18219759292</v>
          </cell>
          <cell r="C76">
            <v>964745.60999999975</v>
          </cell>
          <cell r="D76">
            <v>1009444.5</v>
          </cell>
          <cell r="E76">
            <v>1119473.95</v>
          </cell>
        </row>
        <row r="77">
          <cell r="A77" t="str">
            <v>CRC5DD</v>
          </cell>
          <cell r="B77">
            <v>212512.68890845584</v>
          </cell>
          <cell r="C77">
            <v>289077.57</v>
          </cell>
        </row>
        <row r="78">
          <cell r="A78" t="str">
            <v>CRC6</v>
          </cell>
          <cell r="B78">
            <v>307449.51074230508</v>
          </cell>
          <cell r="C78">
            <v>519291.62999999983</v>
          </cell>
          <cell r="D78">
            <v>715643.24</v>
          </cell>
          <cell r="E78">
            <v>793648.36</v>
          </cell>
        </row>
        <row r="79">
          <cell r="A79" t="str">
            <v>CRC6DD</v>
          </cell>
          <cell r="B79">
            <v>102325.53721127447</v>
          </cell>
          <cell r="C79">
            <v>148967.12</v>
          </cell>
        </row>
        <row r="80">
          <cell r="A80" t="str">
            <v>CTRCHWDD</v>
          </cell>
          <cell r="B80">
            <v>4169.4191960784319</v>
          </cell>
          <cell r="C80">
            <v>6563.52</v>
          </cell>
        </row>
        <row r="81">
          <cell r="A81" t="str">
            <v>CVI1DD</v>
          </cell>
          <cell r="B81">
            <v>61423.619999999995</v>
          </cell>
          <cell r="C81">
            <v>87545.36</v>
          </cell>
        </row>
        <row r="82">
          <cell r="A82" t="str">
            <v>CVI2DD</v>
          </cell>
          <cell r="B82">
            <v>107535.03999999998</v>
          </cell>
          <cell r="C82">
            <v>154752.12</v>
          </cell>
        </row>
        <row r="83">
          <cell r="A83" t="str">
            <v>CVI3DD</v>
          </cell>
          <cell r="B83">
            <v>99861.959999999992</v>
          </cell>
          <cell r="C83">
            <v>146172.88</v>
          </cell>
        </row>
        <row r="84">
          <cell r="A84" t="str">
            <v>CVI4DD</v>
          </cell>
          <cell r="B84">
            <v>128112.12</v>
          </cell>
          <cell r="C84">
            <v>189671.36</v>
          </cell>
        </row>
        <row r="85">
          <cell r="A85" t="str">
            <v>CVIDKTDD</v>
          </cell>
          <cell r="B85">
            <v>16080.694800000001</v>
          </cell>
          <cell r="C85">
            <v>25236.3</v>
          </cell>
        </row>
        <row r="86">
          <cell r="A86" t="str">
            <v>CVIMKTDD</v>
          </cell>
          <cell r="B86">
            <v>23824.859040378651</v>
          </cell>
          <cell r="C86">
            <v>34355.599999999999</v>
          </cell>
        </row>
        <row r="87">
          <cell r="A87" t="str">
            <v>CVIT</v>
          </cell>
          <cell r="B87">
            <v>360545.09803891281</v>
          </cell>
          <cell r="C87">
            <v>532949.92999999982</v>
          </cell>
          <cell r="D87">
            <v>0</v>
          </cell>
          <cell r="E87">
            <v>55920.58</v>
          </cell>
        </row>
        <row r="88">
          <cell r="A88" t="str">
            <v>CVITDD</v>
          </cell>
          <cell r="B88">
            <v>75949.715999999986</v>
          </cell>
          <cell r="C88">
            <v>120845</v>
          </cell>
        </row>
        <row r="89">
          <cell r="A89" t="str">
            <v>CYSEASDD</v>
          </cell>
          <cell r="B89">
            <v>2867.1656744803277</v>
          </cell>
          <cell r="C89">
            <v>4381.43</v>
          </cell>
        </row>
        <row r="90">
          <cell r="A90" t="str">
            <v>DALCYSDD</v>
          </cell>
          <cell r="B90">
            <v>3256.7285664274459</v>
          </cell>
          <cell r="C90">
            <v>4695.49</v>
          </cell>
        </row>
        <row r="91">
          <cell r="A91" t="str">
            <v>DAP1DD</v>
          </cell>
          <cell r="B91">
            <v>18838.259999999998</v>
          </cell>
          <cell r="C91">
            <v>28807.279999999999</v>
          </cell>
        </row>
        <row r="92">
          <cell r="A92" t="str">
            <v>DAP2DD</v>
          </cell>
          <cell r="B92">
            <v>166779.13999999998</v>
          </cell>
          <cell r="C92">
            <v>252657.22</v>
          </cell>
        </row>
        <row r="93">
          <cell r="A93" t="str">
            <v>DAP3DD</v>
          </cell>
          <cell r="B93">
            <v>192375.51999999996</v>
          </cell>
          <cell r="C93">
            <v>293747.04000000004</v>
          </cell>
        </row>
        <row r="94">
          <cell r="A94" t="str">
            <v>DAP4DD</v>
          </cell>
          <cell r="B94">
            <v>136066.27030281859</v>
          </cell>
          <cell r="C94">
            <v>204209.5</v>
          </cell>
        </row>
        <row r="95">
          <cell r="A95" t="str">
            <v>DAP5DD</v>
          </cell>
          <cell r="B95">
            <v>156928.4</v>
          </cell>
          <cell r="C95">
            <v>238993.40000000002</v>
          </cell>
        </row>
        <row r="96">
          <cell r="A96" t="str">
            <v>DAP6DD</v>
          </cell>
          <cell r="B96">
            <v>145689.90751409309</v>
          </cell>
          <cell r="C96">
            <v>218805.18</v>
          </cell>
        </row>
        <row r="97">
          <cell r="A97" t="str">
            <v>DBBWDD</v>
          </cell>
          <cell r="B97">
            <v>9296.2219999999998</v>
          </cell>
          <cell r="C97">
            <v>14534.6</v>
          </cell>
        </row>
        <row r="98">
          <cell r="A98" t="str">
            <v>DKIMNTDD</v>
          </cell>
          <cell r="B98">
            <v>17766.437999999998</v>
          </cell>
          <cell r="C98">
            <v>28001.5</v>
          </cell>
        </row>
        <row r="99">
          <cell r="A99" t="str">
            <v>DRRIATDD</v>
          </cell>
          <cell r="B99">
            <v>13446.697488039632</v>
          </cell>
          <cell r="C99">
            <v>19452.269999999997</v>
          </cell>
        </row>
        <row r="100">
          <cell r="A100" t="str">
            <v>EASREDDD</v>
          </cell>
          <cell r="B100">
            <v>6356.5128456017983</v>
          </cell>
          <cell r="C100">
            <v>9164.89</v>
          </cell>
        </row>
        <row r="101">
          <cell r="A101" t="str">
            <v>EMEEMWDD</v>
          </cell>
          <cell r="B101">
            <v>5640.0807999999997</v>
          </cell>
          <cell r="C101">
            <v>8946.4000000000015</v>
          </cell>
        </row>
        <row r="102">
          <cell r="A102" t="str">
            <v>FHLCHDDD</v>
          </cell>
          <cell r="B102">
            <v>22955.496288039631</v>
          </cell>
          <cell r="C102">
            <v>33624.050000000003</v>
          </cell>
        </row>
        <row r="103">
          <cell r="A103" t="str">
            <v>FORNWTDD</v>
          </cell>
          <cell r="B103">
            <v>24796.196298372255</v>
          </cell>
          <cell r="C103">
            <v>35949.339999999997</v>
          </cell>
        </row>
        <row r="104">
          <cell r="A104" t="str">
            <v>GBEULTDD</v>
          </cell>
          <cell r="B104">
            <v>2572.8928671451076</v>
          </cell>
          <cell r="C104">
            <v>3709.73</v>
          </cell>
        </row>
        <row r="105">
          <cell r="A105" t="str">
            <v>GDN1</v>
          </cell>
          <cell r="B105">
            <v>1225363.483943294</v>
          </cell>
          <cell r="C105">
            <v>1855734.9000000004</v>
          </cell>
          <cell r="D105">
            <v>942454.53</v>
          </cell>
          <cell r="E105">
            <v>1045182.07</v>
          </cell>
        </row>
        <row r="106">
          <cell r="A106" t="str">
            <v>GDN1DD</v>
          </cell>
          <cell r="B106">
            <v>165310.86000000004</v>
          </cell>
          <cell r="C106">
            <v>230895.25</v>
          </cell>
        </row>
        <row r="107">
          <cell r="A107" t="str">
            <v>GDN2DD</v>
          </cell>
          <cell r="B107">
            <v>159911.92000000004</v>
          </cell>
          <cell r="C107">
            <v>226351.18000000002</v>
          </cell>
        </row>
        <row r="108">
          <cell r="A108" t="str">
            <v>GDN3</v>
          </cell>
          <cell r="B108">
            <v>749192.12804266205</v>
          </cell>
          <cell r="C108">
            <v>1138306.78</v>
          </cell>
          <cell r="D108">
            <v>766721.51</v>
          </cell>
          <cell r="E108">
            <v>850294.16</v>
          </cell>
        </row>
        <row r="109">
          <cell r="A109" t="str">
            <v>GDN3DD</v>
          </cell>
          <cell r="B109">
            <v>140372.80187378832</v>
          </cell>
          <cell r="C109">
            <v>187822.69000000003</v>
          </cell>
        </row>
        <row r="110">
          <cell r="A110" t="str">
            <v>GDN4</v>
          </cell>
          <cell r="B110">
            <v>609755.50172679825</v>
          </cell>
          <cell r="C110">
            <v>920481.36</v>
          </cell>
          <cell r="D110">
            <v>1008515.03</v>
          </cell>
          <cell r="E110">
            <v>1118443.17</v>
          </cell>
        </row>
        <row r="111">
          <cell r="A111" t="str">
            <v>GDN4DD</v>
          </cell>
          <cell r="B111">
            <v>155239.15925048469</v>
          </cell>
          <cell r="C111">
            <v>222856.58000000005</v>
          </cell>
        </row>
        <row r="112">
          <cell r="A112" t="str">
            <v>GDN5DD</v>
          </cell>
          <cell r="B112">
            <v>85316.523436894175</v>
          </cell>
          <cell r="C112">
            <v>124220.05</v>
          </cell>
        </row>
        <row r="113">
          <cell r="A113" t="str">
            <v>GDN6DD</v>
          </cell>
          <cell r="B113">
            <v>133698.26500000001</v>
          </cell>
          <cell r="C113">
            <v>193328.55</v>
          </cell>
        </row>
        <row r="114">
          <cell r="A114" t="str">
            <v>GDN7DD</v>
          </cell>
          <cell r="B114">
            <v>104694.15656310585</v>
          </cell>
          <cell r="C114">
            <v>153929.09</v>
          </cell>
        </row>
        <row r="115">
          <cell r="A115" t="str">
            <v>GDN8DD</v>
          </cell>
          <cell r="B115">
            <v>238285.68312621169</v>
          </cell>
          <cell r="C115">
            <v>348435.48</v>
          </cell>
        </row>
        <row r="116">
          <cell r="A116" t="str">
            <v>GDNDRTDD</v>
          </cell>
          <cell r="B116">
            <v>16270.888599999998</v>
          </cell>
          <cell r="C116">
            <v>23564.51</v>
          </cell>
        </row>
        <row r="117">
          <cell r="A117" t="str">
            <v>GDNSGIDD</v>
          </cell>
          <cell r="B117">
            <v>47013.0837695683</v>
          </cell>
          <cell r="C117">
            <v>68033.36</v>
          </cell>
        </row>
        <row r="118">
          <cell r="A118" t="str">
            <v>GOS1</v>
          </cell>
          <cell r="B118">
            <v>905242.04098960944</v>
          </cell>
          <cell r="C118">
            <v>1350519.8800000001</v>
          </cell>
          <cell r="D118">
            <v>698188.48</v>
          </cell>
          <cell r="E118">
            <v>747867.27999999991</v>
          </cell>
        </row>
        <row r="119">
          <cell r="A119" t="str">
            <v>GOS1DD</v>
          </cell>
          <cell r="B119">
            <v>132594.94</v>
          </cell>
          <cell r="C119">
            <v>166397.85999999999</v>
          </cell>
        </row>
        <row r="120">
          <cell r="A120" t="str">
            <v>GOS2</v>
          </cell>
          <cell r="B120">
            <v>900219.60899759608</v>
          </cell>
          <cell r="C120">
            <v>1336372.47</v>
          </cell>
          <cell r="D120">
            <v>594693.77999999991</v>
          </cell>
          <cell r="E120">
            <v>637008.53</v>
          </cell>
        </row>
        <row r="121">
          <cell r="A121" t="str">
            <v>GOS2DD</v>
          </cell>
          <cell r="B121">
            <v>132615.84274291282</v>
          </cell>
          <cell r="C121">
            <v>152241.28</v>
          </cell>
        </row>
        <row r="122">
          <cell r="A122" t="str">
            <v>GOS3DD</v>
          </cell>
          <cell r="B122">
            <v>129855.92894858256</v>
          </cell>
          <cell r="C122">
            <v>195107.49</v>
          </cell>
        </row>
        <row r="123">
          <cell r="A123" t="str">
            <v>GOS4DD</v>
          </cell>
          <cell r="B123">
            <v>147911.0265141743</v>
          </cell>
          <cell r="C123">
            <v>221116.02000000002</v>
          </cell>
        </row>
        <row r="124">
          <cell r="A124" t="str">
            <v>GOS5DD</v>
          </cell>
          <cell r="B124">
            <v>127223.65999999999</v>
          </cell>
          <cell r="C124">
            <v>191166.8</v>
          </cell>
        </row>
        <row r="125">
          <cell r="A125" t="str">
            <v>GOS6DD</v>
          </cell>
          <cell r="B125">
            <v>160516.48799999998</v>
          </cell>
          <cell r="C125">
            <v>241198.31</v>
          </cell>
        </row>
        <row r="126">
          <cell r="A126" t="str">
            <v>GOS7DD</v>
          </cell>
          <cell r="B126">
            <v>172387.69999999998</v>
          </cell>
          <cell r="C126">
            <v>262342.02</v>
          </cell>
        </row>
        <row r="127">
          <cell r="A127" t="str">
            <v>GOS8DD</v>
          </cell>
          <cell r="B127">
            <v>170376.37</v>
          </cell>
          <cell r="C127">
            <v>259445.2</v>
          </cell>
        </row>
        <row r="128">
          <cell r="A128" t="str">
            <v>GUL2</v>
          </cell>
          <cell r="B128">
            <v>1010018.4328150495</v>
          </cell>
          <cell r="C128">
            <v>1562988.1800000006</v>
          </cell>
          <cell r="D128">
            <v>772947.18599999999</v>
          </cell>
          <cell r="E128">
            <v>827945.35</v>
          </cell>
        </row>
        <row r="129">
          <cell r="A129" t="str">
            <v>GUL2DD</v>
          </cell>
          <cell r="B129">
            <v>270857.27999999997</v>
          </cell>
          <cell r="C129">
            <v>336590.49000000005</v>
          </cell>
        </row>
        <row r="130">
          <cell r="A130" t="str">
            <v>GUL3</v>
          </cell>
          <cell r="B130">
            <v>1105565.685923283</v>
          </cell>
          <cell r="C130">
            <v>1715691.2499999998</v>
          </cell>
          <cell r="D130">
            <v>879646.12399999995</v>
          </cell>
          <cell r="E130">
            <v>942236.33</v>
          </cell>
        </row>
        <row r="131">
          <cell r="A131" t="str">
            <v>GUL3DD</v>
          </cell>
          <cell r="B131">
            <v>292575.6445140118</v>
          </cell>
          <cell r="C131">
            <v>408519.69</v>
          </cell>
        </row>
        <row r="132">
          <cell r="A132" t="str">
            <v>GUL4</v>
          </cell>
          <cell r="B132">
            <v>1328775.2723087503</v>
          </cell>
          <cell r="C132">
            <v>2045622.860000001</v>
          </cell>
          <cell r="D132">
            <v>895103.33799999999</v>
          </cell>
          <cell r="E132">
            <v>958793.38000000012</v>
          </cell>
        </row>
        <row r="133">
          <cell r="A133" t="str">
            <v>GUL4DD</v>
          </cell>
          <cell r="B133">
            <v>167984.08699439524</v>
          </cell>
          <cell r="C133">
            <v>253954.75000000003</v>
          </cell>
        </row>
        <row r="134">
          <cell r="A134" t="str">
            <v>GUL5</v>
          </cell>
          <cell r="B134">
            <v>1276708.110802311</v>
          </cell>
          <cell r="C134">
            <v>1969044.2400000002</v>
          </cell>
          <cell r="D134">
            <v>929665.78600000008</v>
          </cell>
          <cell r="E134">
            <v>995815.08</v>
          </cell>
        </row>
        <row r="135">
          <cell r="A135" t="str">
            <v>GUL5DD</v>
          </cell>
          <cell r="B135">
            <v>149064.64174299405</v>
          </cell>
          <cell r="C135">
            <v>224320.3</v>
          </cell>
        </row>
        <row r="136">
          <cell r="A136" t="str">
            <v>GUL6DD</v>
          </cell>
          <cell r="B136">
            <v>150253.84674859879</v>
          </cell>
          <cell r="C136">
            <v>226516.38</v>
          </cell>
        </row>
        <row r="137">
          <cell r="A137" t="str">
            <v>GULT</v>
          </cell>
          <cell r="B137">
            <v>149385.888130518</v>
          </cell>
          <cell r="C137">
            <v>236098.71</v>
          </cell>
          <cell r="D137">
            <v>107981.82</v>
          </cell>
          <cell r="E137">
            <v>115312.70000000001</v>
          </cell>
        </row>
        <row r="138">
          <cell r="A138" t="str">
            <v>GULTDD</v>
          </cell>
          <cell r="B138">
            <v>33449.818759999995</v>
          </cell>
          <cell r="C138">
            <v>49357.450000000004</v>
          </cell>
        </row>
        <row r="139">
          <cell r="A139" t="str">
            <v>HARRWDD</v>
          </cell>
          <cell r="B139">
            <v>7011.06</v>
          </cell>
          <cell r="C139">
            <v>10858</v>
          </cell>
        </row>
        <row r="140">
          <cell r="A140" t="str">
            <v>HOM1</v>
          </cell>
          <cell r="B140">
            <v>595850.33445862937</v>
          </cell>
          <cell r="C140">
            <v>881518.66999999993</v>
          </cell>
          <cell r="D140">
            <v>519207.69</v>
          </cell>
          <cell r="E140">
            <v>575801.32999999996</v>
          </cell>
        </row>
        <row r="141">
          <cell r="A141" t="str">
            <v>HOM1DD</v>
          </cell>
          <cell r="B141">
            <v>153661.99</v>
          </cell>
          <cell r="C141">
            <v>183180.15000000002</v>
          </cell>
        </row>
        <row r="142">
          <cell r="A142" t="str">
            <v>HOM2</v>
          </cell>
          <cell r="B142">
            <v>995605.17415707454</v>
          </cell>
          <cell r="C142">
            <v>1393116.09</v>
          </cell>
          <cell r="D142">
            <v>826993.45</v>
          </cell>
          <cell r="E142">
            <v>917135.73999999987</v>
          </cell>
        </row>
        <row r="143">
          <cell r="A143" t="str">
            <v>HOM2DD</v>
          </cell>
          <cell r="B143">
            <v>183480.77599999998</v>
          </cell>
          <cell r="C143">
            <v>268612.07999999996</v>
          </cell>
        </row>
        <row r="144">
          <cell r="A144" t="str">
            <v>HOM3DD</v>
          </cell>
          <cell r="B144">
            <v>88682.703514634704</v>
          </cell>
          <cell r="C144">
            <v>129931.45000000001</v>
          </cell>
        </row>
        <row r="145">
          <cell r="A145" t="str">
            <v>HOM4DD</v>
          </cell>
          <cell r="B145">
            <v>133945.22999999998</v>
          </cell>
          <cell r="C145">
            <v>196170.85</v>
          </cell>
        </row>
        <row r="146">
          <cell r="A146" t="str">
            <v>HOMBUTDD</v>
          </cell>
          <cell r="B146">
            <v>4399.3785637345318</v>
          </cell>
          <cell r="C146">
            <v>6332.5300000000007</v>
          </cell>
        </row>
        <row r="147">
          <cell r="A147" t="str">
            <v>IALGDTDD</v>
          </cell>
          <cell r="B147">
            <v>23963.90068803963</v>
          </cell>
          <cell r="C147">
            <v>34825.19</v>
          </cell>
        </row>
        <row r="148">
          <cell r="A148" t="str">
            <v>IPS2DD</v>
          </cell>
          <cell r="B148">
            <v>105849.45999999999</v>
          </cell>
          <cell r="C148">
            <v>156169.47999999998</v>
          </cell>
        </row>
        <row r="149">
          <cell r="A149" t="str">
            <v>IPS4DD</v>
          </cell>
          <cell r="B149">
            <v>130747.64775145403</v>
          </cell>
          <cell r="C149">
            <v>191859.08000000002</v>
          </cell>
        </row>
        <row r="150">
          <cell r="A150" t="str">
            <v>IPSBRTDD</v>
          </cell>
          <cell r="B150">
            <v>9521.8218236609573</v>
          </cell>
          <cell r="C150">
            <v>14348.67</v>
          </cell>
        </row>
        <row r="151">
          <cell r="A151" t="str">
            <v>KIA2</v>
          </cell>
          <cell r="B151">
            <v>213476.31850767144</v>
          </cell>
          <cell r="C151">
            <v>327017.98</v>
          </cell>
          <cell r="D151">
            <v>165780.69400000002</v>
          </cell>
          <cell r="E151">
            <v>184749.81000000003</v>
          </cell>
        </row>
        <row r="152">
          <cell r="A152" t="str">
            <v>KIA2DD</v>
          </cell>
          <cell r="B152">
            <v>225264.71999999997</v>
          </cell>
          <cell r="C152">
            <v>283461.56</v>
          </cell>
        </row>
        <row r="153">
          <cell r="A153" t="str">
            <v>KIA3</v>
          </cell>
          <cell r="B153">
            <v>492987.00967424613</v>
          </cell>
          <cell r="C153">
            <v>784836.64000000013</v>
          </cell>
          <cell r="D153">
            <v>369835.81</v>
          </cell>
          <cell r="E153">
            <v>373391.92</v>
          </cell>
        </row>
        <row r="154">
          <cell r="A154" t="str">
            <v>KIA3DD</v>
          </cell>
          <cell r="B154">
            <v>205801.22399999999</v>
          </cell>
          <cell r="C154">
            <v>276114.76</v>
          </cell>
        </row>
        <row r="155">
          <cell r="A155" t="str">
            <v>KLG1DD</v>
          </cell>
          <cell r="B155">
            <v>172751.28</v>
          </cell>
          <cell r="C155">
            <v>255612.03999999998</v>
          </cell>
        </row>
        <row r="156">
          <cell r="A156" t="str">
            <v>KLG4DD</v>
          </cell>
          <cell r="B156">
            <v>178678.63765534124</v>
          </cell>
          <cell r="C156">
            <v>264151.20999999996</v>
          </cell>
        </row>
        <row r="157">
          <cell r="A157" t="str">
            <v>KMSFRWDD</v>
          </cell>
          <cell r="B157">
            <v>9535.5367999999999</v>
          </cell>
          <cell r="C157">
            <v>14499.7</v>
          </cell>
        </row>
        <row r="158">
          <cell r="A158" t="str">
            <v>LID1DD</v>
          </cell>
          <cell r="B158">
            <v>147562.51999999999</v>
          </cell>
          <cell r="C158">
            <v>198337</v>
          </cell>
        </row>
        <row r="159">
          <cell r="A159" t="str">
            <v>LID2</v>
          </cell>
          <cell r="B159">
            <v>879037.70305792382</v>
          </cell>
          <cell r="C159">
            <v>1280437.5300000003</v>
          </cell>
          <cell r="D159">
            <v>896039.76</v>
          </cell>
          <cell r="E159">
            <v>993708.09000000008</v>
          </cell>
        </row>
        <row r="160">
          <cell r="A160" t="str">
            <v>LID2DD</v>
          </cell>
          <cell r="B160">
            <v>149868.84</v>
          </cell>
          <cell r="C160">
            <v>205449.31999999998</v>
          </cell>
        </row>
        <row r="161">
          <cell r="A161" t="str">
            <v>LID3DD</v>
          </cell>
          <cell r="B161">
            <v>135713.70955750172</v>
          </cell>
          <cell r="C161">
            <v>197847.56</v>
          </cell>
        </row>
        <row r="162">
          <cell r="A162" t="str">
            <v>LID4DD</v>
          </cell>
          <cell r="B162">
            <v>125034.15075067893</v>
          </cell>
          <cell r="C162">
            <v>183138.35</v>
          </cell>
        </row>
        <row r="163">
          <cell r="A163" t="str">
            <v>LID5DD</v>
          </cell>
          <cell r="B163">
            <v>127566.302</v>
          </cell>
          <cell r="C163">
            <v>186960.21</v>
          </cell>
        </row>
        <row r="164">
          <cell r="A164" t="str">
            <v>LID6DD</v>
          </cell>
          <cell r="B164">
            <v>138565.21459583618</v>
          </cell>
          <cell r="C164">
            <v>202143.55</v>
          </cell>
        </row>
        <row r="165">
          <cell r="A165" t="str">
            <v>LID7DD</v>
          </cell>
          <cell r="B165">
            <v>117993.86659583621</v>
          </cell>
          <cell r="C165">
            <v>172543.88</v>
          </cell>
        </row>
        <row r="166">
          <cell r="A166" t="str">
            <v>LID8DD</v>
          </cell>
          <cell r="B166">
            <v>148313.20925958361</v>
          </cell>
          <cell r="C166">
            <v>215102.28</v>
          </cell>
        </row>
        <row r="167">
          <cell r="A167" t="str">
            <v>LIDHOTDD</v>
          </cell>
          <cell r="B167">
            <v>8330.75</v>
          </cell>
          <cell r="C167">
            <v>12003.45</v>
          </cell>
        </row>
        <row r="168">
          <cell r="A168" t="str">
            <v>LJT1DD</v>
          </cell>
          <cell r="B168">
            <v>157421.04800000001</v>
          </cell>
          <cell r="C168">
            <v>235762.7</v>
          </cell>
        </row>
        <row r="169">
          <cell r="A169" t="str">
            <v>LJT2DD</v>
          </cell>
          <cell r="B169">
            <v>210410.9065141743</v>
          </cell>
          <cell r="C169">
            <v>322830.77</v>
          </cell>
        </row>
        <row r="170">
          <cell r="A170" t="str">
            <v>LJT3DD</v>
          </cell>
          <cell r="B170">
            <v>179101.0714627569</v>
          </cell>
          <cell r="C170">
            <v>271967</v>
          </cell>
        </row>
        <row r="171">
          <cell r="A171" t="str">
            <v>LJT4DD</v>
          </cell>
          <cell r="B171">
            <v>170218.76020566974</v>
          </cell>
          <cell r="C171">
            <v>257935.96000000002</v>
          </cell>
        </row>
        <row r="172">
          <cell r="A172" t="str">
            <v>LJT5DD</v>
          </cell>
          <cell r="B172">
            <v>176290.37</v>
          </cell>
          <cell r="C172">
            <v>267210.16000000003</v>
          </cell>
        </row>
        <row r="173">
          <cell r="A173" t="str">
            <v>LJT6DD</v>
          </cell>
          <cell r="B173">
            <v>159055.55999999997</v>
          </cell>
          <cell r="C173">
            <v>238498.24</v>
          </cell>
        </row>
        <row r="174">
          <cell r="A174" t="str">
            <v>LJT7DD</v>
          </cell>
          <cell r="B174">
            <v>137216.90999999997</v>
          </cell>
          <cell r="C174">
            <v>203246.47999999998</v>
          </cell>
        </row>
        <row r="175">
          <cell r="A175" t="str">
            <v>LJT8DD</v>
          </cell>
          <cell r="B175">
            <v>131450.82999999999</v>
          </cell>
          <cell r="C175">
            <v>194725.24</v>
          </cell>
        </row>
        <row r="176">
          <cell r="A176" t="str">
            <v>MACMKWDD</v>
          </cell>
          <cell r="B176">
            <v>984.81399999999985</v>
          </cell>
          <cell r="C176">
            <v>1566.5</v>
          </cell>
        </row>
        <row r="177">
          <cell r="A177" t="str">
            <v>MAI3DD</v>
          </cell>
          <cell r="B177">
            <v>143797.84999999998</v>
          </cell>
          <cell r="C177">
            <v>214984.8</v>
          </cell>
        </row>
        <row r="178">
          <cell r="A178" t="str">
            <v>MAI7DD</v>
          </cell>
          <cell r="B178">
            <v>144461.02284574771</v>
          </cell>
          <cell r="C178">
            <v>216241.88999999998</v>
          </cell>
        </row>
        <row r="179">
          <cell r="A179" t="str">
            <v>MDG1DD</v>
          </cell>
          <cell r="B179">
            <v>149058.47999999998</v>
          </cell>
          <cell r="C179">
            <v>225691.36</v>
          </cell>
        </row>
        <row r="180">
          <cell r="A180" t="str">
            <v>MDG2DD</v>
          </cell>
          <cell r="B180">
            <v>154253.31706506375</v>
          </cell>
          <cell r="C180">
            <v>236658.8</v>
          </cell>
        </row>
        <row r="181">
          <cell r="A181" t="str">
            <v>MGBNETDD</v>
          </cell>
          <cell r="B181">
            <v>12744.628999999999</v>
          </cell>
          <cell r="C181">
            <v>18582.150000000001</v>
          </cell>
        </row>
        <row r="182">
          <cell r="A182" t="str">
            <v>MKY1</v>
          </cell>
          <cell r="B182">
            <v>563929.79130768706</v>
          </cell>
          <cell r="C182">
            <v>898332.13</v>
          </cell>
          <cell r="D182">
            <v>642638.63199999998</v>
          </cell>
          <cell r="E182">
            <v>688364.84</v>
          </cell>
        </row>
        <row r="183">
          <cell r="A183" t="str">
            <v>MKY1DD</v>
          </cell>
          <cell r="B183">
            <v>132981.24999999997</v>
          </cell>
          <cell r="C183">
            <v>197823</v>
          </cell>
        </row>
        <row r="184">
          <cell r="A184" t="str">
            <v>MKY2DD</v>
          </cell>
          <cell r="B184">
            <v>136568.78999999998</v>
          </cell>
          <cell r="C184">
            <v>203598.06</v>
          </cell>
        </row>
        <row r="185">
          <cell r="A185" t="str">
            <v>MKY3DD</v>
          </cell>
          <cell r="B185">
            <v>189935.16236455203</v>
          </cell>
          <cell r="C185">
            <v>288241.56</v>
          </cell>
        </row>
        <row r="186">
          <cell r="A186" t="str">
            <v>MKY4DD</v>
          </cell>
          <cell r="B186">
            <v>141400.06</v>
          </cell>
          <cell r="C186">
            <v>211342.68</v>
          </cell>
        </row>
        <row r="187">
          <cell r="A187" t="str">
            <v>MKYBAWDD</v>
          </cell>
          <cell r="B187">
            <v>19981.802800000001</v>
          </cell>
          <cell r="C187">
            <v>30849.1</v>
          </cell>
        </row>
        <row r="188">
          <cell r="A188" t="str">
            <v>MKYMKWDD</v>
          </cell>
          <cell r="B188">
            <v>10018.799999999999</v>
          </cell>
          <cell r="C188">
            <v>15723.72</v>
          </cell>
        </row>
        <row r="189">
          <cell r="A189" t="str">
            <v>MNKQBTDD</v>
          </cell>
          <cell r="B189">
            <v>11802.964799999998</v>
          </cell>
          <cell r="C189">
            <v>18376.599999999999</v>
          </cell>
        </row>
        <row r="190">
          <cell r="A190" t="str">
            <v>MUSMUWDD</v>
          </cell>
          <cell r="B190">
            <v>4212.1072000000004</v>
          </cell>
          <cell r="C190">
            <v>6374.8</v>
          </cell>
        </row>
        <row r="191">
          <cell r="A191" t="str">
            <v>NDG1DD</v>
          </cell>
          <cell r="B191">
            <v>143511.59536835016</v>
          </cell>
          <cell r="C191">
            <v>211978.33</v>
          </cell>
        </row>
        <row r="192">
          <cell r="A192" t="str">
            <v>NDG2DD</v>
          </cell>
          <cell r="B192">
            <v>149216.452248546</v>
          </cell>
          <cell r="C192">
            <v>220438.22</v>
          </cell>
        </row>
        <row r="193">
          <cell r="A193" t="str">
            <v>NDG3DD</v>
          </cell>
          <cell r="B193">
            <v>156553.7980941741</v>
          </cell>
          <cell r="C193">
            <v>231469.44000000003</v>
          </cell>
        </row>
        <row r="194">
          <cell r="A194" t="str">
            <v>NDG4DD</v>
          </cell>
          <cell r="B194">
            <v>143209.57482223245</v>
          </cell>
          <cell r="C194">
            <v>210575.53</v>
          </cell>
        </row>
        <row r="195">
          <cell r="A195" t="str">
            <v>PMFERWDD</v>
          </cell>
          <cell r="B195">
            <v>21278.672799999997</v>
          </cell>
          <cell r="C195">
            <v>33271.599999999999</v>
          </cell>
        </row>
        <row r="196">
          <cell r="A196" t="str">
            <v>PPNPRWDD</v>
          </cell>
          <cell r="B196">
            <v>3120.1557600000001</v>
          </cell>
          <cell r="C196">
            <v>4871.42</v>
          </cell>
        </row>
        <row r="197">
          <cell r="A197" t="str">
            <v>PTH1DD</v>
          </cell>
          <cell r="B197">
            <v>142033.83690140845</v>
          </cell>
          <cell r="C197">
            <v>169913.09999999998</v>
          </cell>
        </row>
        <row r="198">
          <cell r="A198" t="str">
            <v>PTH2DD</v>
          </cell>
          <cell r="B198">
            <v>133706.74599999998</v>
          </cell>
          <cell r="C198">
            <v>175473.26</v>
          </cell>
        </row>
        <row r="199">
          <cell r="A199" t="str">
            <v>PTH3DD</v>
          </cell>
          <cell r="B199">
            <v>118569.78725958359</v>
          </cell>
          <cell r="C199">
            <v>173675.16</v>
          </cell>
        </row>
        <row r="200">
          <cell r="A200" t="str">
            <v>PTH4DD</v>
          </cell>
          <cell r="B200">
            <v>102500.21</v>
          </cell>
          <cell r="C200">
            <v>150145.54999999999</v>
          </cell>
        </row>
        <row r="201">
          <cell r="A201" t="str">
            <v>PTH5DD</v>
          </cell>
          <cell r="B201">
            <v>100317.77859583622</v>
          </cell>
          <cell r="C201">
            <v>146908.33000000002</v>
          </cell>
        </row>
        <row r="202">
          <cell r="A202" t="str">
            <v>PTH6DD</v>
          </cell>
          <cell r="B202">
            <v>132015.84</v>
          </cell>
          <cell r="C202">
            <v>193330.7</v>
          </cell>
        </row>
        <row r="203">
          <cell r="A203" t="str">
            <v>PTHROTDD</v>
          </cell>
          <cell r="B203">
            <v>24980.571849699605</v>
          </cell>
          <cell r="C203">
            <v>37380.92</v>
          </cell>
        </row>
        <row r="204">
          <cell r="A204" t="str">
            <v>QBN3DD</v>
          </cell>
          <cell r="B204">
            <v>132142.96999999997</v>
          </cell>
          <cell r="C204">
            <v>194892.40000000002</v>
          </cell>
        </row>
        <row r="205">
          <cell r="A205" t="str">
            <v>QBNMNTDD</v>
          </cell>
          <cell r="B205">
            <v>18127.278399999999</v>
          </cell>
          <cell r="C205">
            <v>28345.8</v>
          </cell>
        </row>
        <row r="206">
          <cell r="A206" t="str">
            <v>RCH1</v>
          </cell>
          <cell r="B206">
            <v>871545.4775851327</v>
          </cell>
          <cell r="C206">
            <v>1219194.8199999996</v>
          </cell>
          <cell r="D206">
            <v>721646.5</v>
          </cell>
          <cell r="E206">
            <v>800305.97</v>
          </cell>
        </row>
        <row r="207">
          <cell r="A207" t="str">
            <v>RCH1DD</v>
          </cell>
          <cell r="B207">
            <v>175317.68999999997</v>
          </cell>
          <cell r="C207">
            <v>215898.21</v>
          </cell>
        </row>
        <row r="208">
          <cell r="A208" t="str">
            <v>RCH2</v>
          </cell>
          <cell r="B208">
            <v>1062059.4983774917</v>
          </cell>
          <cell r="C208">
            <v>1509266.5000000002</v>
          </cell>
          <cell r="D208">
            <v>1091801.46</v>
          </cell>
          <cell r="E208">
            <v>1210807.82</v>
          </cell>
        </row>
        <row r="209">
          <cell r="A209" t="str">
            <v>RCH2DD</v>
          </cell>
          <cell r="B209">
            <v>190131.22999999998</v>
          </cell>
          <cell r="C209">
            <v>251730.53999999998</v>
          </cell>
        </row>
        <row r="210">
          <cell r="A210" t="str">
            <v>RCH3DD</v>
          </cell>
          <cell r="B210">
            <v>166250.1225958362</v>
          </cell>
          <cell r="C210">
            <v>227637.44</v>
          </cell>
        </row>
        <row r="211">
          <cell r="A211" t="str">
            <v>RCH4</v>
          </cell>
          <cell r="B211">
            <v>1229714.6226938078</v>
          </cell>
          <cell r="C211">
            <v>1778083.1599999997</v>
          </cell>
          <cell r="D211">
            <v>1129599.6399999999</v>
          </cell>
          <cell r="E211">
            <v>1252726</v>
          </cell>
        </row>
        <row r="212">
          <cell r="A212" t="str">
            <v>RCH4DD</v>
          </cell>
          <cell r="B212">
            <v>223660.65248316011</v>
          </cell>
          <cell r="C212">
            <v>321889.25999999995</v>
          </cell>
        </row>
        <row r="213">
          <cell r="A213" t="str">
            <v>RCH5DD</v>
          </cell>
          <cell r="B213">
            <v>117531.11659583621</v>
          </cell>
          <cell r="C213">
            <v>170071.26</v>
          </cell>
        </row>
        <row r="214">
          <cell r="A214" t="str">
            <v>RCH6DD</v>
          </cell>
          <cell r="B214">
            <v>156662.04859583621</v>
          </cell>
          <cell r="C214">
            <v>228878.59999999998</v>
          </cell>
        </row>
        <row r="215">
          <cell r="A215" t="str">
            <v>RCHTDD</v>
          </cell>
          <cell r="B215">
            <v>33467</v>
          </cell>
          <cell r="C215">
            <v>48253.8</v>
          </cell>
        </row>
        <row r="216">
          <cell r="A216" t="str">
            <v>REDGBEDD</v>
          </cell>
          <cell r="B216">
            <v>5271.1214456906646</v>
          </cell>
          <cell r="C216">
            <v>7592.03</v>
          </cell>
        </row>
        <row r="217">
          <cell r="A217" t="str">
            <v>RIV1</v>
          </cell>
          <cell r="B217">
            <v>384218.0543717785</v>
          </cell>
          <cell r="C217">
            <v>586082.52999999991</v>
          </cell>
          <cell r="D217">
            <v>389333.77</v>
          </cell>
          <cell r="E217">
            <v>431771.15</v>
          </cell>
        </row>
        <row r="218">
          <cell r="A218" t="str">
            <v>RIV1DD</v>
          </cell>
          <cell r="B218">
            <v>278901.26</v>
          </cell>
          <cell r="C218">
            <v>368768.88999999996</v>
          </cell>
        </row>
        <row r="219">
          <cell r="A219" t="str">
            <v>RIV2DD</v>
          </cell>
          <cell r="B219">
            <v>68366.175480832768</v>
          </cell>
          <cell r="C219">
            <v>95318.010000000009</v>
          </cell>
        </row>
        <row r="220">
          <cell r="A220" t="str">
            <v>RIV3DD</v>
          </cell>
          <cell r="B220">
            <v>114097.21866374739</v>
          </cell>
          <cell r="C220">
            <v>163232.03</v>
          </cell>
        </row>
        <row r="221">
          <cell r="A221" t="str">
            <v>RIV4DD</v>
          </cell>
          <cell r="B221">
            <v>79793.252000000008</v>
          </cell>
          <cell r="C221">
            <v>114104.97</v>
          </cell>
        </row>
        <row r="222">
          <cell r="A222" t="str">
            <v>RIVDD</v>
          </cell>
          <cell r="B222">
            <v>0</v>
          </cell>
          <cell r="C222">
            <v>0</v>
          </cell>
        </row>
        <row r="223">
          <cell r="A223" t="str">
            <v>RIVTDD</v>
          </cell>
          <cell r="B223">
            <v>34902.992845601802</v>
          </cell>
          <cell r="C223">
            <v>50368.99</v>
          </cell>
        </row>
        <row r="224">
          <cell r="A224" t="str">
            <v>ROT1DD</v>
          </cell>
          <cell r="B224">
            <v>126298.10999999999</v>
          </cell>
          <cell r="C224">
            <v>186317.08000000002</v>
          </cell>
        </row>
        <row r="225">
          <cell r="A225" t="str">
            <v>ROT2DD</v>
          </cell>
          <cell r="B225">
            <v>174403.63129721384</v>
          </cell>
          <cell r="C225">
            <v>263046.75</v>
          </cell>
        </row>
        <row r="226">
          <cell r="A226" t="str">
            <v>ROT3DD</v>
          </cell>
          <cell r="B226">
            <v>146083.90999999997</v>
          </cell>
          <cell r="C226">
            <v>218895.47999999998</v>
          </cell>
        </row>
        <row r="227">
          <cell r="A227" t="str">
            <v>SAW1</v>
          </cell>
          <cell r="B227">
            <v>1671407.4221150142</v>
          </cell>
          <cell r="C227">
            <v>2527179.620000001</v>
          </cell>
          <cell r="D227">
            <v>830323.28142857144</v>
          </cell>
          <cell r="E227">
            <v>888289.25</v>
          </cell>
        </row>
        <row r="228">
          <cell r="A228" t="str">
            <v>SAW1DD</v>
          </cell>
          <cell r="B228">
            <v>167252.66</v>
          </cell>
          <cell r="C228">
            <v>239795.16</v>
          </cell>
        </row>
        <row r="229">
          <cell r="A229" t="str">
            <v>SAW2</v>
          </cell>
          <cell r="B229">
            <v>830543.71292681503</v>
          </cell>
          <cell r="C229">
            <v>1260817.6499999997</v>
          </cell>
          <cell r="D229">
            <v>692533.91142857145</v>
          </cell>
          <cell r="E229">
            <v>740880.62</v>
          </cell>
        </row>
        <row r="230">
          <cell r="A230" t="str">
            <v>SAW2DD</v>
          </cell>
          <cell r="B230">
            <v>134819.0025372431</v>
          </cell>
          <cell r="C230">
            <v>196374.89</v>
          </cell>
        </row>
        <row r="231">
          <cell r="A231" t="str">
            <v>SAW3</v>
          </cell>
          <cell r="B231">
            <v>753708.68646129523</v>
          </cell>
          <cell r="C231">
            <v>1166182.23</v>
          </cell>
          <cell r="D231">
            <v>861575.71714285715</v>
          </cell>
          <cell r="E231">
            <v>921723.46000000008</v>
          </cell>
        </row>
        <row r="232">
          <cell r="A232" t="str">
            <v>SAW3DD</v>
          </cell>
          <cell r="B232">
            <v>123376.14651417432</v>
          </cell>
          <cell r="C232">
            <v>188215.94000000003</v>
          </cell>
        </row>
        <row r="233">
          <cell r="A233" t="str">
            <v>SAW4</v>
          </cell>
          <cell r="B233">
            <v>731279.05328415905</v>
          </cell>
          <cell r="C233">
            <v>1133087.6900000002</v>
          </cell>
          <cell r="D233">
            <v>844533.97857142857</v>
          </cell>
          <cell r="E233">
            <v>903492.01</v>
          </cell>
        </row>
        <row r="234">
          <cell r="A234" t="str">
            <v>SAW4DD</v>
          </cell>
          <cell r="B234">
            <v>131173.84474291283</v>
          </cell>
          <cell r="C234">
            <v>200222.22</v>
          </cell>
        </row>
        <row r="235">
          <cell r="A235" t="str">
            <v>SAWTDD</v>
          </cell>
          <cell r="B235">
            <v>23505.186399999999</v>
          </cell>
          <cell r="C235">
            <v>37091.699999999997</v>
          </cell>
        </row>
        <row r="236">
          <cell r="A236" t="str">
            <v>SCOSCWDD</v>
          </cell>
          <cell r="B236">
            <v>5234.1172000000006</v>
          </cell>
          <cell r="C236">
            <v>8094.7</v>
          </cell>
        </row>
        <row r="237">
          <cell r="A237" t="str">
            <v>SILLITDD</v>
          </cell>
          <cell r="B237">
            <v>14506.135718132733</v>
          </cell>
          <cell r="C237">
            <v>20914.79</v>
          </cell>
        </row>
        <row r="238">
          <cell r="A238" t="str">
            <v>SLA1DD</v>
          </cell>
          <cell r="B238">
            <v>173145.40000000002</v>
          </cell>
          <cell r="C238">
            <v>247893.64</v>
          </cell>
        </row>
        <row r="239">
          <cell r="A239" t="str">
            <v>SLA3DD</v>
          </cell>
          <cell r="B239">
            <v>177365.18312621169</v>
          </cell>
          <cell r="C239">
            <v>256098.74000000002</v>
          </cell>
        </row>
        <row r="240">
          <cell r="A240" t="str">
            <v>SSBAARDD</v>
          </cell>
          <cell r="B240">
            <v>10014.172457607927</v>
          </cell>
          <cell r="C240">
            <v>14401.11</v>
          </cell>
        </row>
        <row r="241">
          <cell r="A241" t="str">
            <v>SYAWRTDD</v>
          </cell>
          <cell r="B241">
            <v>11400.811421454442</v>
          </cell>
          <cell r="C241">
            <v>16422.900000000001</v>
          </cell>
        </row>
        <row r="242">
          <cell r="A242" t="str">
            <v>TAMW06</v>
          </cell>
          <cell r="B242">
            <v>0</v>
          </cell>
          <cell r="C242">
            <v>0</v>
          </cell>
        </row>
        <row r="243">
          <cell r="A243" t="str">
            <v>TAMW06DD</v>
          </cell>
          <cell r="B243">
            <v>33601.297599999998</v>
          </cell>
          <cell r="C243">
            <v>46813.1</v>
          </cell>
        </row>
        <row r="244">
          <cell r="A244" t="str">
            <v>TAMW16DD</v>
          </cell>
          <cell r="B244">
            <v>28382.261999999999</v>
          </cell>
          <cell r="C244">
            <v>38416</v>
          </cell>
        </row>
        <row r="245">
          <cell r="A245" t="str">
            <v>TAMW23DD</v>
          </cell>
          <cell r="B245">
            <v>21262.268400000001</v>
          </cell>
          <cell r="C245">
            <v>27107.4</v>
          </cell>
        </row>
        <row r="246">
          <cell r="A246" t="str">
            <v>TEE2DD</v>
          </cell>
          <cell r="B246">
            <v>146828.07451417431</v>
          </cell>
          <cell r="C246">
            <v>219094.06</v>
          </cell>
        </row>
        <row r="247">
          <cell r="A247" t="str">
            <v>TEE3DD</v>
          </cell>
          <cell r="B247">
            <v>129515.7545141743</v>
          </cell>
          <cell r="C247">
            <v>190834.83000000002</v>
          </cell>
        </row>
        <row r="248">
          <cell r="A248" t="str">
            <v>TEE4DD</v>
          </cell>
          <cell r="B248">
            <v>63875.634102834862</v>
          </cell>
          <cell r="C248">
            <v>95077.119999999995</v>
          </cell>
        </row>
        <row r="249">
          <cell r="A249" t="str">
            <v>TEE5DD</v>
          </cell>
          <cell r="B249">
            <v>123555.54999999999</v>
          </cell>
          <cell r="C249">
            <v>186854.22</v>
          </cell>
        </row>
        <row r="250">
          <cell r="A250" t="str">
            <v>Test</v>
          </cell>
          <cell r="B250">
            <v>0</v>
          </cell>
          <cell r="C250">
            <v>0</v>
          </cell>
        </row>
        <row r="251">
          <cell r="A251" t="str">
            <v>TETINWDD</v>
          </cell>
          <cell r="B251">
            <v>14561.943952103004</v>
          </cell>
          <cell r="C251">
            <v>23152.86</v>
          </cell>
        </row>
        <row r="252">
          <cell r="A252" t="str">
            <v>TNS1</v>
          </cell>
          <cell r="B252">
            <v>215318.89213387921</v>
          </cell>
          <cell r="C252">
            <v>352213.05</v>
          </cell>
          <cell r="D252">
            <v>333348.62400000001</v>
          </cell>
          <cell r="E252">
            <v>357067.66000000003</v>
          </cell>
        </row>
        <row r="253">
          <cell r="A253" t="str">
            <v>TNS1DD</v>
          </cell>
          <cell r="B253">
            <v>123065.09</v>
          </cell>
          <cell r="C253">
            <v>137215.96</v>
          </cell>
        </row>
        <row r="254">
          <cell r="A254" t="str">
            <v>TNS2</v>
          </cell>
          <cell r="B254">
            <v>368800.86408870813</v>
          </cell>
          <cell r="C254">
            <v>590870.14</v>
          </cell>
          <cell r="D254">
            <v>505546.576</v>
          </cell>
          <cell r="E254">
            <v>541518.16</v>
          </cell>
        </row>
        <row r="255">
          <cell r="A255" t="str">
            <v>TNS2DD</v>
          </cell>
          <cell r="B255">
            <v>155059.45699439524</v>
          </cell>
          <cell r="C255">
            <v>182662.35</v>
          </cell>
        </row>
        <row r="256">
          <cell r="A256" t="str">
            <v>TNS3</v>
          </cell>
          <cell r="B256">
            <v>412421.0323817929</v>
          </cell>
          <cell r="C256">
            <v>673838.16</v>
          </cell>
          <cell r="D256">
            <v>683175.20799999998</v>
          </cell>
          <cell r="E256">
            <v>731785.75</v>
          </cell>
        </row>
        <row r="257">
          <cell r="A257" t="str">
            <v>TNS3DD</v>
          </cell>
          <cell r="B257">
            <v>147231.32199999999</v>
          </cell>
          <cell r="C257">
            <v>187429.2</v>
          </cell>
        </row>
        <row r="258">
          <cell r="A258" t="str">
            <v>TNS4DD</v>
          </cell>
          <cell r="B258">
            <v>144803.66965364307</v>
          </cell>
          <cell r="C258">
            <v>212885.12</v>
          </cell>
        </row>
        <row r="259">
          <cell r="A259" t="str">
            <v>TNS5DD</v>
          </cell>
          <cell r="B259">
            <v>136171.84850280237</v>
          </cell>
          <cell r="C259">
            <v>200825.31</v>
          </cell>
        </row>
        <row r="260">
          <cell r="A260" t="str">
            <v>TNS6DD</v>
          </cell>
          <cell r="B260">
            <v>114925.68528584193</v>
          </cell>
          <cell r="C260">
            <v>169503.94</v>
          </cell>
        </row>
        <row r="261">
          <cell r="A261" t="str">
            <v>TOB1</v>
          </cell>
          <cell r="B261">
            <v>1306428.5506257145</v>
          </cell>
          <cell r="C261">
            <v>1938475.26</v>
          </cell>
          <cell r="D261">
            <v>795449.79399999999</v>
          </cell>
          <cell r="E261">
            <v>886467.61</v>
          </cell>
        </row>
        <row r="262">
          <cell r="A262" t="str">
            <v>TOB1DD</v>
          </cell>
          <cell r="B262">
            <v>202654.28</v>
          </cell>
          <cell r="C262">
            <v>250471.24000000002</v>
          </cell>
        </row>
        <row r="263">
          <cell r="A263" t="str">
            <v>TOB2</v>
          </cell>
          <cell r="B263">
            <v>1569944.3315484135</v>
          </cell>
          <cell r="C263">
            <v>2403880.3300000005</v>
          </cell>
          <cell r="D263">
            <v>1040352.084</v>
          </cell>
          <cell r="E263">
            <v>1114377.1399999999</v>
          </cell>
        </row>
        <row r="264">
          <cell r="A264" t="str">
            <v>TOB2DD</v>
          </cell>
          <cell r="B264">
            <v>292468.03999999998</v>
          </cell>
          <cell r="C264">
            <v>403164.56</v>
          </cell>
        </row>
        <row r="265">
          <cell r="A265" t="str">
            <v>TOB3</v>
          </cell>
          <cell r="B265">
            <v>1440703.3892033605</v>
          </cell>
          <cell r="C265">
            <v>2201042.1200000006</v>
          </cell>
          <cell r="D265">
            <v>911304.54599999997</v>
          </cell>
          <cell r="E265">
            <v>976147.37</v>
          </cell>
        </row>
        <row r="266">
          <cell r="A266" t="str">
            <v>TOB3DD</v>
          </cell>
          <cell r="B266">
            <v>146228.89999999997</v>
          </cell>
          <cell r="C266">
            <v>208308.94000000003</v>
          </cell>
        </row>
        <row r="267">
          <cell r="A267" t="str">
            <v>TOB4</v>
          </cell>
          <cell r="B267">
            <v>1341049.1973506189</v>
          </cell>
          <cell r="C267">
            <v>2072543.71</v>
          </cell>
          <cell r="D267">
            <v>1105034.4100000001</v>
          </cell>
          <cell r="E267">
            <v>1183661.8599999999</v>
          </cell>
        </row>
        <row r="268">
          <cell r="A268" t="str">
            <v>TOB4DD</v>
          </cell>
          <cell r="B268">
            <v>151661.64351393061</v>
          </cell>
          <cell r="C268">
            <v>221759.25</v>
          </cell>
        </row>
        <row r="269">
          <cell r="A269" t="str">
            <v>TOB5DD</v>
          </cell>
          <cell r="B269">
            <v>152564.9269458208</v>
          </cell>
          <cell r="C269">
            <v>231350.44</v>
          </cell>
        </row>
        <row r="270">
          <cell r="A270" t="str">
            <v>TOB6DD</v>
          </cell>
          <cell r="B270">
            <v>158400.51824303466</v>
          </cell>
          <cell r="C270">
            <v>246120.01</v>
          </cell>
        </row>
        <row r="271">
          <cell r="A271" t="str">
            <v>TOB7DD</v>
          </cell>
          <cell r="B271">
            <v>107708.66999999998</v>
          </cell>
          <cell r="C271">
            <v>159576.76</v>
          </cell>
        </row>
        <row r="272">
          <cell r="A272" t="str">
            <v>TOB8DD</v>
          </cell>
          <cell r="B272">
            <v>145789.76999999999</v>
          </cell>
          <cell r="C272">
            <v>226854.84</v>
          </cell>
        </row>
        <row r="273">
          <cell r="A273" t="str">
            <v>TOB9DD</v>
          </cell>
          <cell r="B273">
            <v>156681.53351393063</v>
          </cell>
          <cell r="C273">
            <v>240682.47</v>
          </cell>
        </row>
        <row r="274">
          <cell r="A274" t="str">
            <v>TOBW03</v>
          </cell>
          <cell r="B274">
            <v>136050.52793547703</v>
          </cell>
          <cell r="C274">
            <v>204639.54999999996</v>
          </cell>
          <cell r="D274">
            <v>48625.2</v>
          </cell>
          <cell r="E274">
            <v>52085.07</v>
          </cell>
        </row>
        <row r="275">
          <cell r="A275" t="str">
            <v>TOBW15DD</v>
          </cell>
          <cell r="B275">
            <v>7316.0683999999992</v>
          </cell>
          <cell r="C275">
            <v>11649.9</v>
          </cell>
        </row>
        <row r="276">
          <cell r="A276" t="str">
            <v>TOBW3DD</v>
          </cell>
          <cell r="B276">
            <v>18615.169999999998</v>
          </cell>
          <cell r="C276">
            <v>29617.5</v>
          </cell>
        </row>
        <row r="277">
          <cell r="A277" t="str">
            <v>ULTDALDD</v>
          </cell>
          <cell r="B277">
            <v>6198.5928644521937</v>
          </cell>
          <cell r="C277">
            <v>8934.39</v>
          </cell>
        </row>
        <row r="278">
          <cell r="A278" t="str">
            <v>URLURWDD</v>
          </cell>
          <cell r="B278">
            <v>3012.1307999999999</v>
          </cell>
          <cell r="C278">
            <v>4789.8999999999996</v>
          </cell>
        </row>
        <row r="279">
          <cell r="A279" t="str">
            <v>WINTDD</v>
          </cell>
          <cell r="B279">
            <v>28424.957127469064</v>
          </cell>
          <cell r="C279">
            <v>40960.339999999997</v>
          </cell>
        </row>
        <row r="280">
          <cell r="A280" t="str">
            <v>WLG1DD</v>
          </cell>
          <cell r="B280">
            <v>130151.15300967709</v>
          </cell>
          <cell r="C280">
            <v>190826.6</v>
          </cell>
        </row>
        <row r="281">
          <cell r="A281" t="str">
            <v>WLG2DD</v>
          </cell>
          <cell r="B281">
            <v>133313.54830281861</v>
          </cell>
          <cell r="C281">
            <v>194891.87</v>
          </cell>
        </row>
        <row r="282">
          <cell r="A282" t="str">
            <v>WLG3DD</v>
          </cell>
          <cell r="B282">
            <v>109177.98999999999</v>
          </cell>
          <cell r="C282">
            <v>163098.72</v>
          </cell>
        </row>
        <row r="283">
          <cell r="A283" t="str">
            <v>WLG4DD</v>
          </cell>
          <cell r="B283">
            <v>108760.16799999999</v>
          </cell>
          <cell r="C283">
            <v>159617.96000000002</v>
          </cell>
        </row>
        <row r="284">
          <cell r="A284" t="str">
            <v>WLG5DD</v>
          </cell>
          <cell r="B284">
            <v>102978.27999999998</v>
          </cell>
          <cell r="C284">
            <v>152875.84</v>
          </cell>
        </row>
        <row r="285">
          <cell r="A285" t="str">
            <v>WLG6DD</v>
          </cell>
          <cell r="B285">
            <v>104104.37951409307</v>
          </cell>
          <cell r="C285">
            <v>155130.14000000001</v>
          </cell>
        </row>
        <row r="286">
          <cell r="A286" t="str">
            <v>WLGTDD</v>
          </cell>
          <cell r="B286">
            <v>14387.247999999998</v>
          </cell>
          <cell r="C286">
            <v>22906.5</v>
          </cell>
        </row>
        <row r="287">
          <cell r="A287" t="str">
            <v>WRWWAWDD</v>
          </cell>
          <cell r="B287">
            <v>10827.527600369958</v>
          </cell>
          <cell r="C287">
            <v>16739.400000000001</v>
          </cell>
        </row>
        <row r="288">
          <cell r="A288" t="str">
            <v>BDB2DD</v>
          </cell>
          <cell r="B288">
            <v>144964.48114990309</v>
          </cell>
          <cell r="C288">
            <v>212380.00999999998</v>
          </cell>
        </row>
        <row r="289">
          <cell r="A289" t="str">
            <v>GDN2</v>
          </cell>
          <cell r="B289">
            <v>997353.82448382408</v>
          </cell>
          <cell r="C289">
            <v>1531807.1999999997</v>
          </cell>
          <cell r="D289">
            <v>975170.53</v>
          </cell>
          <cell r="E289">
            <v>1081464.1100000001</v>
          </cell>
        </row>
        <row r="290">
          <cell r="A290" t="str">
            <v>SLA2DD</v>
          </cell>
          <cell r="B290">
            <v>153972.15883087437</v>
          </cell>
          <cell r="C290">
            <v>221482.84</v>
          </cell>
        </row>
        <row r="291">
          <cell r="A291" t="str">
            <v>MAI11DD</v>
          </cell>
          <cell r="B291">
            <v>148488.04999999999</v>
          </cell>
          <cell r="C291">
            <v>223060.4</v>
          </cell>
        </row>
        <row r="292">
          <cell r="A292" t="str">
            <v>LIV4DD</v>
          </cell>
          <cell r="B292">
            <v>126398.83999999998</v>
          </cell>
          <cell r="C292">
            <v>185454.8</v>
          </cell>
        </row>
        <row r="293">
          <cell r="A293" t="str">
            <v>CAI4DD</v>
          </cell>
          <cell r="B293">
            <v>102722.42749719763</v>
          </cell>
          <cell r="C293">
            <v>149751.99</v>
          </cell>
        </row>
        <row r="294">
          <cell r="A294" t="str">
            <v>MDG3DD</v>
          </cell>
          <cell r="B294">
            <v>96076.513794330254</v>
          </cell>
          <cell r="C294">
            <v>146186.98000000001</v>
          </cell>
        </row>
        <row r="295">
          <cell r="A295" t="str">
            <v>RCHWINT</v>
          </cell>
          <cell r="B295">
            <v>70245.756501018783</v>
          </cell>
          <cell r="C295">
            <v>101511.95</v>
          </cell>
          <cell r="D295">
            <v>203539.6</v>
          </cell>
          <cell r="E295">
            <v>225725.41</v>
          </cell>
        </row>
        <row r="296">
          <cell r="A296" t="str">
            <v>KLG7DD</v>
          </cell>
          <cell r="B296">
            <v>142785.27812621166</v>
          </cell>
          <cell r="C296">
            <v>210741.71</v>
          </cell>
        </row>
        <row r="297">
          <cell r="A297" t="str">
            <v>GUL7DD</v>
          </cell>
          <cell r="B297">
            <v>177389.20851401184</v>
          </cell>
          <cell r="C297">
            <v>264073.08999999997</v>
          </cell>
        </row>
        <row r="298">
          <cell r="A298" t="str">
            <v>BBE1DD</v>
          </cell>
          <cell r="B298">
            <v>149976.12</v>
          </cell>
          <cell r="C298">
            <v>216979.36</v>
          </cell>
        </row>
        <row r="299">
          <cell r="A299" t="str">
            <v>RCHRIVT</v>
          </cell>
          <cell r="B299">
            <v>232784.62168485869</v>
          </cell>
          <cell r="C299">
            <v>346224.68999999989</v>
          </cell>
          <cell r="D299">
            <v>280788.94</v>
          </cell>
          <cell r="E299">
            <v>311394.93</v>
          </cell>
        </row>
        <row r="300">
          <cell r="A300" t="str">
            <v>NDG3</v>
          </cell>
          <cell r="B300">
            <v>695604.45010565326</v>
          </cell>
          <cell r="C300">
            <v>1037262.47</v>
          </cell>
          <cell r="D300">
            <v>678747.53</v>
          </cell>
          <cell r="E300">
            <v>752731.01</v>
          </cell>
        </row>
        <row r="301">
          <cell r="A301" t="str">
            <v>TNS4</v>
          </cell>
          <cell r="B301">
            <v>845309.57920512848</v>
          </cell>
          <cell r="C301">
            <v>1320024.0700000008</v>
          </cell>
          <cell r="D301">
            <v>794044.33000000007</v>
          </cell>
          <cell r="E301">
            <v>847951.93</v>
          </cell>
        </row>
        <row r="302">
          <cell r="A302" t="str">
            <v>CVI5DD</v>
          </cell>
          <cell r="B302">
            <v>126443.37270668507</v>
          </cell>
          <cell r="C302">
            <v>186061.77000000002</v>
          </cell>
        </row>
        <row r="303">
          <cell r="A303" t="str">
            <v>BEGWLTDD</v>
          </cell>
          <cell r="B303">
            <v>14359.208799999999</v>
          </cell>
          <cell r="C303">
            <v>22116.5</v>
          </cell>
        </row>
        <row r="304">
          <cell r="A304" t="str">
            <v>WLSWLTDD</v>
          </cell>
          <cell r="B304">
            <v>4505.6760000000004</v>
          </cell>
          <cell r="C304">
            <v>6863.6</v>
          </cell>
        </row>
        <row r="305">
          <cell r="A305" t="str">
            <v>SGI1DD</v>
          </cell>
          <cell r="B305">
            <v>92797.1</v>
          </cell>
          <cell r="C305">
            <v>136583.79999999999</v>
          </cell>
        </row>
        <row r="306">
          <cell r="A306" t="str">
            <v>ROTPIWDD</v>
          </cell>
          <cell r="B306">
            <v>11779.671039999997</v>
          </cell>
          <cell r="C306">
            <v>18459.84</v>
          </cell>
        </row>
        <row r="307">
          <cell r="A307" t="str">
            <v>APLAPLT</v>
          </cell>
          <cell r="B307">
            <v>65414.753680409354</v>
          </cell>
          <cell r="C307">
            <v>103534.48999999999</v>
          </cell>
          <cell r="D307">
            <v>147716.01999999999</v>
          </cell>
          <cell r="E307">
            <v>163817.06999999998</v>
          </cell>
        </row>
        <row r="308">
          <cell r="A308" t="str">
            <v>BKSBKTDD</v>
          </cell>
          <cell r="B308">
            <v>5598.9780000000001</v>
          </cell>
          <cell r="C308">
            <v>8601.08</v>
          </cell>
        </row>
        <row r="309">
          <cell r="A309" t="str">
            <v>LJT9DD</v>
          </cell>
          <cell r="B309">
            <v>113022.26</v>
          </cell>
          <cell r="C309">
            <v>163896.28</v>
          </cell>
        </row>
        <row r="310">
          <cell r="A310" t="str">
            <v>PTH7DD</v>
          </cell>
          <cell r="B310">
            <v>100425.18</v>
          </cell>
          <cell r="C310">
            <v>147153.1</v>
          </cell>
        </row>
        <row r="311">
          <cell r="A311" t="str">
            <v>IPS8DD</v>
          </cell>
          <cell r="B311">
            <v>162478.12775145401</v>
          </cell>
          <cell r="C311">
            <v>236274.28</v>
          </cell>
        </row>
        <row r="312">
          <cell r="A312" t="str">
            <v>RCH3</v>
          </cell>
          <cell r="B312">
            <v>1026478.0947824726</v>
          </cell>
          <cell r="C312">
            <v>1513622.15</v>
          </cell>
          <cell r="D312">
            <v>1089515.94</v>
          </cell>
          <cell r="E312">
            <v>1208273.18</v>
          </cell>
        </row>
        <row r="313">
          <cell r="A313" t="str">
            <v>NDG1</v>
          </cell>
          <cell r="B313">
            <v>1090715.8243481528</v>
          </cell>
          <cell r="C313">
            <v>1641016.01</v>
          </cell>
          <cell r="D313">
            <v>998749.77</v>
          </cell>
          <cell r="E313">
            <v>1107613.5</v>
          </cell>
        </row>
        <row r="314">
          <cell r="A314" t="str">
            <v>PTH1</v>
          </cell>
          <cell r="B314">
            <v>510514.18158927222</v>
          </cell>
          <cell r="C314">
            <v>701109.90999999992</v>
          </cell>
          <cell r="D314">
            <v>594599.06000000006</v>
          </cell>
          <cell r="E314">
            <v>659410.36</v>
          </cell>
        </row>
        <row r="315">
          <cell r="A315" t="str">
            <v>AARAART</v>
          </cell>
          <cell r="B315">
            <v>38357.74126410835</v>
          </cell>
          <cell r="C315">
            <v>65507.240000000005</v>
          </cell>
          <cell r="D315">
            <v>33998.42</v>
          </cell>
          <cell r="E315">
            <v>37704.25</v>
          </cell>
        </row>
        <row r="316">
          <cell r="A316" t="str">
            <v>FHLCHDT</v>
          </cell>
          <cell r="B316">
            <v>41607.9</v>
          </cell>
          <cell r="C316">
            <v>61321.960000000006</v>
          </cell>
          <cell r="D316">
            <v>43963.199999999997</v>
          </cell>
          <cell r="E316">
            <v>48755.179999999993</v>
          </cell>
        </row>
        <row r="317">
          <cell r="A317" t="str">
            <v>SSBAART</v>
          </cell>
          <cell r="B317">
            <v>43088.830316027088</v>
          </cell>
          <cell r="C317">
            <v>68451.59</v>
          </cell>
          <cell r="D317">
            <v>112859.2</v>
          </cell>
          <cell r="E317">
            <v>125160.85</v>
          </cell>
        </row>
        <row r="318">
          <cell r="A318" t="str">
            <v>CAI5DD</v>
          </cell>
          <cell r="B318">
            <v>120768.86399999999</v>
          </cell>
          <cell r="C318">
            <v>179056.56</v>
          </cell>
        </row>
        <row r="319">
          <cell r="A319" t="str">
            <v>(blank)</v>
          </cell>
        </row>
        <row r="320">
          <cell r="A320" t="str">
            <v>LID1</v>
          </cell>
          <cell r="B320">
            <v>805265.96750303218</v>
          </cell>
          <cell r="C320">
            <v>1200851.2000000004</v>
          </cell>
          <cell r="D320">
            <v>800579.07</v>
          </cell>
          <cell r="E320">
            <v>887842.19</v>
          </cell>
        </row>
        <row r="321">
          <cell r="A321" t="str">
            <v>BLK4</v>
          </cell>
          <cell r="B321">
            <v>2074720.4216661917</v>
          </cell>
          <cell r="C321">
            <v>2962820.8799999994</v>
          </cell>
          <cell r="D321">
            <v>1182859.48</v>
          </cell>
          <cell r="E321">
            <v>1311791.17</v>
          </cell>
        </row>
        <row r="322">
          <cell r="A322" t="str">
            <v>RCH7DD</v>
          </cell>
          <cell r="B322">
            <v>55004.656595836212</v>
          </cell>
          <cell r="C322">
            <v>80262.62</v>
          </cell>
        </row>
        <row r="323">
          <cell r="A323" t="str">
            <v>NDG2</v>
          </cell>
          <cell r="B323">
            <v>928775.84905440372</v>
          </cell>
          <cell r="C323">
            <v>1386763.5200000003</v>
          </cell>
          <cell r="D323">
            <v>923818.31</v>
          </cell>
          <cell r="E323">
            <v>1024514.5</v>
          </cell>
        </row>
        <row r="324">
          <cell r="A324" t="str">
            <v>QBN4DD</v>
          </cell>
          <cell r="B324">
            <v>170237.46551409308</v>
          </cell>
          <cell r="C324">
            <v>254830.7</v>
          </cell>
        </row>
        <row r="325">
          <cell r="A325" t="str">
            <v>CAI2</v>
          </cell>
          <cell r="B325">
            <v>847119.22257119254</v>
          </cell>
          <cell r="C325">
            <v>1341620.08</v>
          </cell>
          <cell r="D325">
            <v>1106075.7860000001</v>
          </cell>
          <cell r="E325">
            <v>1181167.1700000002</v>
          </cell>
        </row>
        <row r="326">
          <cell r="A326" t="str">
            <v>NABDAWDD</v>
          </cell>
          <cell r="B326">
            <v>4780.0059999999994</v>
          </cell>
          <cell r="C326">
            <v>7442.4</v>
          </cell>
        </row>
        <row r="327">
          <cell r="A327" t="str">
            <v>WAG2DD</v>
          </cell>
          <cell r="B327">
            <v>162989.75999999998</v>
          </cell>
          <cell r="C327">
            <v>242145.32</v>
          </cell>
        </row>
        <row r="328">
          <cell r="A328" t="str">
            <v>WAG1DD</v>
          </cell>
          <cell r="B328">
            <v>16571.879999999997</v>
          </cell>
          <cell r="C328">
            <v>25823.040000000001</v>
          </cell>
        </row>
        <row r="329">
          <cell r="A329" t="str">
            <v>WAG3DD</v>
          </cell>
          <cell r="B329">
            <v>80676.909999999989</v>
          </cell>
          <cell r="C329">
            <v>120906.72</v>
          </cell>
        </row>
        <row r="330">
          <cell r="A330" t="str">
            <v>GDN5</v>
          </cell>
          <cell r="B330">
            <v>374856.03120381385</v>
          </cell>
          <cell r="C330">
            <v>564973.8600000001</v>
          </cell>
          <cell r="D330">
            <v>785888.5</v>
          </cell>
          <cell r="E330">
            <v>871550.34</v>
          </cell>
        </row>
        <row r="331">
          <cell r="A331" t="str">
            <v>TOB6</v>
          </cell>
          <cell r="B331">
            <v>1168019.3108167201</v>
          </cell>
          <cell r="C331">
            <v>1799672.4499999997</v>
          </cell>
          <cell r="D331">
            <v>808231.79999999993</v>
          </cell>
          <cell r="E331">
            <v>865740.6</v>
          </cell>
        </row>
        <row r="332">
          <cell r="A332" t="str">
            <v>GDN6</v>
          </cell>
          <cell r="B332">
            <v>398312.52199468529</v>
          </cell>
          <cell r="C332">
            <v>598964.07000000007</v>
          </cell>
          <cell r="D332">
            <v>849390.14</v>
          </cell>
          <cell r="E332">
            <v>941973.66999999993</v>
          </cell>
        </row>
        <row r="333">
          <cell r="A333" t="str">
            <v>QBN6DD</v>
          </cell>
          <cell r="B333">
            <v>138562.44999999998</v>
          </cell>
          <cell r="C333">
            <v>211604.32</v>
          </cell>
        </row>
      </sheetData>
      <sheetData sheetId="15">
        <row r="1">
          <cell r="A1" t="str">
            <v>Job Number</v>
          </cell>
          <cell r="B1" t="str">
            <v>(All)</v>
          </cell>
        </row>
        <row r="2">
          <cell r="A2" t="str">
            <v>Job NAME</v>
          </cell>
          <cell r="B2" t="str">
            <v>(All)</v>
          </cell>
        </row>
        <row r="4">
          <cell r="A4" t="str">
            <v>Sum of Amount</v>
          </cell>
          <cell r="B4" t="str">
            <v>Column Labels</v>
          </cell>
        </row>
        <row r="5">
          <cell r="B5" t="str">
            <v>DJC</v>
          </cell>
          <cell r="C5" t="str">
            <v>Materials</v>
          </cell>
        </row>
        <row r="6">
          <cell r="A6" t="str">
            <v>Row Labels</v>
          </cell>
          <cell r="C6" t="str">
            <v>Materials</v>
          </cell>
        </row>
        <row r="7">
          <cell r="A7" t="str">
            <v>APL1</v>
          </cell>
          <cell r="B7">
            <v>2495976.5</v>
          </cell>
          <cell r="C7">
            <v>317936.34000000003</v>
          </cell>
        </row>
        <row r="8">
          <cell r="A8" t="str">
            <v>APL2</v>
          </cell>
          <cell r="B8">
            <v>70448.899999999965</v>
          </cell>
          <cell r="C8">
            <v>50071.890000000021</v>
          </cell>
        </row>
        <row r="9">
          <cell r="A9" t="str">
            <v>APL3</v>
          </cell>
          <cell r="B9">
            <v>155993.43000000002</v>
          </cell>
          <cell r="C9">
            <v>225901.30000000005</v>
          </cell>
        </row>
        <row r="10">
          <cell r="A10" t="str">
            <v>APL4</v>
          </cell>
          <cell r="B10">
            <v>354603.93999999977</v>
          </cell>
          <cell r="C10">
            <v>518883.63000000012</v>
          </cell>
        </row>
        <row r="11">
          <cell r="A11" t="str">
            <v>BLK1</v>
          </cell>
          <cell r="B11">
            <v>2147347.37</v>
          </cell>
          <cell r="C11">
            <v>655875.98999999918</v>
          </cell>
        </row>
        <row r="12">
          <cell r="A12" t="str">
            <v>BLK2</v>
          </cell>
          <cell r="B12">
            <v>53371.929999999993</v>
          </cell>
          <cell r="C12">
            <v>110382.44</v>
          </cell>
        </row>
        <row r="13">
          <cell r="A13" t="str">
            <v>BLK3</v>
          </cell>
          <cell r="B13">
            <v>342.1300000000042</v>
          </cell>
          <cell r="C13">
            <v>3485.95</v>
          </cell>
        </row>
        <row r="14">
          <cell r="A14" t="str">
            <v>BLK4</v>
          </cell>
          <cell r="B14">
            <v>12115.090000000002</v>
          </cell>
          <cell r="C14">
            <v>9365.09</v>
          </cell>
        </row>
        <row r="15">
          <cell r="A15" t="str">
            <v>BLK5</v>
          </cell>
          <cell r="B15">
            <v>31733.03</v>
          </cell>
        </row>
        <row r="16">
          <cell r="A16" t="str">
            <v>BLK6</v>
          </cell>
          <cell r="B16">
            <v>84375</v>
          </cell>
          <cell r="C16">
            <v>2958.5</v>
          </cell>
        </row>
        <row r="17">
          <cell r="A17" t="str">
            <v>CAI1</v>
          </cell>
          <cell r="B17">
            <v>118654.84999999999</v>
          </cell>
          <cell r="C17">
            <v>256983.31999999992</v>
          </cell>
        </row>
        <row r="18">
          <cell r="A18" t="str">
            <v>CAI2</v>
          </cell>
          <cell r="B18">
            <v>19435.43</v>
          </cell>
          <cell r="C18">
            <v>48.22</v>
          </cell>
        </row>
        <row r="19">
          <cell r="A19" t="str">
            <v>CAI4</v>
          </cell>
          <cell r="B19">
            <v>9656.5499999999993</v>
          </cell>
          <cell r="C19">
            <v>2.8421709430404007E-14</v>
          </cell>
        </row>
        <row r="20">
          <cell r="A20" t="str">
            <v>CFS1</v>
          </cell>
          <cell r="B20">
            <v>2459253.4700000016</v>
          </cell>
          <cell r="C20">
            <v>868509.57999999984</v>
          </cell>
        </row>
        <row r="21">
          <cell r="A21" t="str">
            <v>CFS2</v>
          </cell>
          <cell r="B21">
            <v>1456086.9900000014</v>
          </cell>
          <cell r="C21">
            <v>578788.24999999965</v>
          </cell>
        </row>
        <row r="22">
          <cell r="A22" t="str">
            <v>CFS3</v>
          </cell>
          <cell r="B22">
            <v>203431.93000000002</v>
          </cell>
          <cell r="C22">
            <v>13251.27</v>
          </cell>
        </row>
        <row r="23">
          <cell r="A23" t="str">
            <v>CFS4</v>
          </cell>
          <cell r="B23">
            <v>91697.64</v>
          </cell>
          <cell r="C23">
            <v>22290.28</v>
          </cell>
        </row>
        <row r="24">
          <cell r="A24" t="str">
            <v>CFS5</v>
          </cell>
          <cell r="B24">
            <v>2559243.0999999996</v>
          </cell>
          <cell r="C24">
            <v>364695.89999999973</v>
          </cell>
        </row>
        <row r="25">
          <cell r="A25" t="str">
            <v>CFS6</v>
          </cell>
          <cell r="B25">
            <v>1342.3600000000001</v>
          </cell>
          <cell r="C25">
            <v>4591.9500000000007</v>
          </cell>
        </row>
        <row r="26">
          <cell r="A26" t="str">
            <v>CFS7</v>
          </cell>
          <cell r="B26">
            <v>25621.02</v>
          </cell>
          <cell r="C26">
            <v>3654.8</v>
          </cell>
        </row>
        <row r="27">
          <cell r="A27" t="str">
            <v>CRC1</v>
          </cell>
          <cell r="B27">
            <v>334231.42000000016</v>
          </cell>
          <cell r="C27">
            <v>167627.86000000002</v>
          </cell>
        </row>
        <row r="28">
          <cell r="A28" t="str">
            <v>CRC2</v>
          </cell>
          <cell r="B28">
            <v>77277.070000000022</v>
          </cell>
          <cell r="C28">
            <v>43360.300000000017</v>
          </cell>
        </row>
        <row r="29">
          <cell r="A29" t="str">
            <v>CRC3</v>
          </cell>
          <cell r="B29">
            <v>1856794.1900000006</v>
          </cell>
          <cell r="C29">
            <v>474322.51999999979</v>
          </cell>
        </row>
        <row r="30">
          <cell r="A30" t="str">
            <v>CRC4</v>
          </cell>
          <cell r="B30">
            <v>77356.069999999992</v>
          </cell>
          <cell r="C30">
            <v>35955.920000000056</v>
          </cell>
        </row>
        <row r="31">
          <cell r="A31" t="str">
            <v>CRC5</v>
          </cell>
          <cell r="B31">
            <v>1190927.7200000032</v>
          </cell>
          <cell r="C31">
            <v>524375.68000000005</v>
          </cell>
        </row>
        <row r="32">
          <cell r="A32" t="str">
            <v>CRC6</v>
          </cell>
          <cell r="B32">
            <v>559245.15000000026</v>
          </cell>
          <cell r="C32">
            <v>330173.8299999999</v>
          </cell>
        </row>
        <row r="33">
          <cell r="A33" t="str">
            <v>CVI2</v>
          </cell>
          <cell r="B33">
            <v>8400</v>
          </cell>
          <cell r="C33">
            <v>0</v>
          </cell>
        </row>
        <row r="34">
          <cell r="A34" t="str">
            <v>CVI3</v>
          </cell>
          <cell r="B34">
            <v>104684.81000000003</v>
          </cell>
          <cell r="C34">
            <v>11857.22</v>
          </cell>
        </row>
        <row r="35">
          <cell r="A35" t="str">
            <v>CVIT</v>
          </cell>
          <cell r="B35">
            <v>240503.34999999989</v>
          </cell>
          <cell r="C35">
            <v>3607.87</v>
          </cell>
        </row>
        <row r="36">
          <cell r="A36" t="str">
            <v>DAP2</v>
          </cell>
          <cell r="B36">
            <v>140648.94</v>
          </cell>
          <cell r="C36">
            <v>27.78</v>
          </cell>
        </row>
        <row r="37">
          <cell r="A37" t="str">
            <v>DAP3</v>
          </cell>
          <cell r="B37">
            <v>17019.900000000001</v>
          </cell>
        </row>
        <row r="38">
          <cell r="A38" t="str">
            <v>DAP4</v>
          </cell>
          <cell r="B38">
            <v>127698.18</v>
          </cell>
        </row>
        <row r="39">
          <cell r="A39" t="str">
            <v>GDN1</v>
          </cell>
          <cell r="B39">
            <v>2223767.0899999994</v>
          </cell>
          <cell r="C39">
            <v>255559.72999999998</v>
          </cell>
        </row>
        <row r="40">
          <cell r="A40" t="str">
            <v>GDN2</v>
          </cell>
          <cell r="B40">
            <v>1126638.4100000004</v>
          </cell>
          <cell r="C40">
            <v>822840.4</v>
          </cell>
        </row>
        <row r="41">
          <cell r="A41" t="str">
            <v>GDN3</v>
          </cell>
          <cell r="B41">
            <v>73771.029999999984</v>
          </cell>
          <cell r="C41">
            <v>2173.2800000000007</v>
          </cell>
        </row>
        <row r="42">
          <cell r="A42" t="str">
            <v>GDN4</v>
          </cell>
          <cell r="B42">
            <v>3452.3300000000008</v>
          </cell>
          <cell r="C42">
            <v>62928.009999999995</v>
          </cell>
        </row>
        <row r="43">
          <cell r="A43" t="str">
            <v>GDN5</v>
          </cell>
          <cell r="B43">
            <v>53070.32</v>
          </cell>
        </row>
        <row r="44">
          <cell r="A44" t="str">
            <v>GDN6</v>
          </cell>
          <cell r="B44">
            <v>65453.1</v>
          </cell>
        </row>
        <row r="45">
          <cell r="A45" t="str">
            <v>GDN7</v>
          </cell>
          <cell r="B45">
            <v>7.1906924858922139E-12</v>
          </cell>
        </row>
        <row r="46">
          <cell r="A46" t="str">
            <v>GOS1</v>
          </cell>
          <cell r="B46">
            <v>160054.73000000007</v>
          </cell>
          <cell r="C46">
            <v>185683.79000000004</v>
          </cell>
        </row>
        <row r="47">
          <cell r="A47" t="str">
            <v>GOS2</v>
          </cell>
          <cell r="B47">
            <v>992470.16000000096</v>
          </cell>
          <cell r="C47">
            <v>858524.42999999912</v>
          </cell>
        </row>
        <row r="48">
          <cell r="A48" t="str">
            <v>GOS3</v>
          </cell>
          <cell r="B48">
            <v>130138.20999999993</v>
          </cell>
          <cell r="C48">
            <v>18828.09</v>
          </cell>
        </row>
        <row r="49">
          <cell r="A49" t="str">
            <v>GOS4</v>
          </cell>
          <cell r="B49">
            <v>13580</v>
          </cell>
        </row>
        <row r="50">
          <cell r="A50" t="str">
            <v>GOS5</v>
          </cell>
          <cell r="B50">
            <v>0</v>
          </cell>
        </row>
        <row r="51">
          <cell r="A51" t="str">
            <v>GOS6</v>
          </cell>
          <cell r="B51">
            <v>9737.5400000000009</v>
          </cell>
        </row>
        <row r="52">
          <cell r="A52" t="str">
            <v>GOS7</v>
          </cell>
          <cell r="B52">
            <v>21862</v>
          </cell>
        </row>
        <row r="53">
          <cell r="A53" t="str">
            <v>GOS8</v>
          </cell>
          <cell r="B53">
            <v>0</v>
          </cell>
        </row>
        <row r="54">
          <cell r="A54" t="str">
            <v>GUL1</v>
          </cell>
          <cell r="B54">
            <v>3544.7499999999995</v>
          </cell>
          <cell r="C54">
            <v>19320.269999999993</v>
          </cell>
        </row>
        <row r="55">
          <cell r="A55" t="str">
            <v>GUL2</v>
          </cell>
          <cell r="B55">
            <v>703748.96000000008</v>
          </cell>
          <cell r="C55">
            <v>167907.16999999963</v>
          </cell>
        </row>
        <row r="56">
          <cell r="A56" t="str">
            <v>GUL3</v>
          </cell>
          <cell r="B56">
            <v>669870.07999999996</v>
          </cell>
          <cell r="C56">
            <v>184895.58999999994</v>
          </cell>
        </row>
        <row r="57">
          <cell r="A57" t="str">
            <v>GUL4</v>
          </cell>
          <cell r="B57">
            <v>836110.8699999993</v>
          </cell>
          <cell r="C57">
            <v>93940.289999999964</v>
          </cell>
        </row>
        <row r="58">
          <cell r="A58" t="str">
            <v>GUL5</v>
          </cell>
          <cell r="B58">
            <v>184160.53999999998</v>
          </cell>
          <cell r="C58">
            <v>24506.510000000002</v>
          </cell>
        </row>
        <row r="59">
          <cell r="A59" t="str">
            <v>GUL6</v>
          </cell>
          <cell r="B59">
            <v>1114.1099999999999</v>
          </cell>
        </row>
        <row r="60">
          <cell r="A60" t="str">
            <v>GULT</v>
          </cell>
          <cell r="B60">
            <v>-6483.1199999999953</v>
          </cell>
          <cell r="C60">
            <v>1811.31</v>
          </cell>
        </row>
        <row r="61">
          <cell r="A61" t="str">
            <v>HOM1</v>
          </cell>
          <cell r="B61">
            <v>173761.62999999998</v>
          </cell>
          <cell r="C61">
            <v>652947.59000000067</v>
          </cell>
        </row>
        <row r="62">
          <cell r="A62" t="str">
            <v>HOM2</v>
          </cell>
          <cell r="B62">
            <v>13814.580000000002</v>
          </cell>
          <cell r="C62">
            <v>3803.7000000000003</v>
          </cell>
        </row>
        <row r="63">
          <cell r="A63" t="str">
            <v>HOM3</v>
          </cell>
          <cell r="B63">
            <v>9390.1800000000021</v>
          </cell>
          <cell r="C63">
            <v>100.08</v>
          </cell>
        </row>
        <row r="64">
          <cell r="A64" t="str">
            <v>HOM4</v>
          </cell>
          <cell r="B64">
            <v>5928.72</v>
          </cell>
        </row>
        <row r="65">
          <cell r="A65" t="str">
            <v>KIA1</v>
          </cell>
          <cell r="C65">
            <v>2407.0099999999998</v>
          </cell>
        </row>
        <row r="66">
          <cell r="A66" t="str">
            <v>KIA2</v>
          </cell>
          <cell r="B66">
            <v>416121.95000000007</v>
          </cell>
          <cell r="C66">
            <v>196361.77000000008</v>
          </cell>
        </row>
        <row r="67">
          <cell r="A67" t="str">
            <v>KIA3</v>
          </cell>
          <cell r="B67">
            <v>606439.06999999995</v>
          </cell>
          <cell r="C67">
            <v>126592.28999999998</v>
          </cell>
        </row>
        <row r="68">
          <cell r="A68" t="str">
            <v>LID1</v>
          </cell>
          <cell r="B68">
            <v>13025.68</v>
          </cell>
          <cell r="C68">
            <v>147631.32</v>
          </cell>
        </row>
        <row r="69">
          <cell r="A69" t="str">
            <v>LID2</v>
          </cell>
          <cell r="B69">
            <v>16001.09</v>
          </cell>
          <cell r="C69">
            <v>2567.92</v>
          </cell>
        </row>
        <row r="70">
          <cell r="A70" t="str">
            <v>LID3</v>
          </cell>
          <cell r="B70">
            <v>37375.19</v>
          </cell>
          <cell r="C70">
            <v>2399.9299999999998</v>
          </cell>
        </row>
        <row r="71">
          <cell r="A71" t="str">
            <v>LID4</v>
          </cell>
          <cell r="B71">
            <v>17384.82</v>
          </cell>
        </row>
        <row r="72">
          <cell r="A72" t="str">
            <v>LID5</v>
          </cell>
          <cell r="B72">
            <v>28529.46</v>
          </cell>
        </row>
        <row r="73">
          <cell r="A73" t="str">
            <v>LID6</v>
          </cell>
          <cell r="B73">
            <v>38851.47</v>
          </cell>
        </row>
        <row r="74">
          <cell r="A74" t="str">
            <v>LID7</v>
          </cell>
          <cell r="B74">
            <v>22250.949999999997</v>
          </cell>
        </row>
        <row r="75">
          <cell r="A75" t="str">
            <v>LID8</v>
          </cell>
          <cell r="B75">
            <v>14681.06</v>
          </cell>
        </row>
        <row r="76">
          <cell r="A76" t="str">
            <v>LJT1</v>
          </cell>
          <cell r="B76">
            <v>69531.649999999994</v>
          </cell>
          <cell r="C76">
            <v>24707.93</v>
          </cell>
        </row>
        <row r="77">
          <cell r="A77" t="str">
            <v>LJT2</v>
          </cell>
          <cell r="B77">
            <v>11200</v>
          </cell>
          <cell r="C77">
            <v>13635.8</v>
          </cell>
        </row>
        <row r="78">
          <cell r="A78" t="str">
            <v>LJT3</v>
          </cell>
          <cell r="B78">
            <v>15553.999999999998</v>
          </cell>
          <cell r="C78">
            <v>5248.8600000000006</v>
          </cell>
        </row>
        <row r="79">
          <cell r="A79" t="str">
            <v>LJT4</v>
          </cell>
          <cell r="B79">
            <v>-7.2759576141834259E-12</v>
          </cell>
        </row>
        <row r="80">
          <cell r="A80" t="str">
            <v>MKY1</v>
          </cell>
          <cell r="B80">
            <v>-1.8189894035458565E-12</v>
          </cell>
          <cell r="C80">
            <v>2939.71</v>
          </cell>
        </row>
        <row r="81">
          <cell r="A81" t="str">
            <v>MKY2</v>
          </cell>
          <cell r="B81">
            <v>12854.86</v>
          </cell>
          <cell r="C81">
            <v>505.59</v>
          </cell>
        </row>
        <row r="82">
          <cell r="A82" t="str">
            <v>MKY3</v>
          </cell>
          <cell r="C82">
            <v>178.8</v>
          </cell>
        </row>
        <row r="83">
          <cell r="A83" t="str">
            <v>MKY4</v>
          </cell>
          <cell r="B83">
            <v>35459.1</v>
          </cell>
          <cell r="C83">
            <v>408.27</v>
          </cell>
        </row>
        <row r="84">
          <cell r="A84" t="str">
            <v>NDG1</v>
          </cell>
          <cell r="B84">
            <v>130761.38</v>
          </cell>
        </row>
        <row r="85">
          <cell r="A85" t="str">
            <v>NDG2</v>
          </cell>
          <cell r="B85">
            <v>178676.01000000004</v>
          </cell>
        </row>
        <row r="86">
          <cell r="A86" t="str">
            <v>NDG3</v>
          </cell>
          <cell r="B86">
            <v>51147.969999999994</v>
          </cell>
        </row>
        <row r="87">
          <cell r="A87" t="str">
            <v>PTH1</v>
          </cell>
          <cell r="B87">
            <v>174389.43999999983</v>
          </cell>
          <cell r="C87">
            <v>722720.32000000111</v>
          </cell>
        </row>
        <row r="88">
          <cell r="A88" t="str">
            <v>PTH2</v>
          </cell>
          <cell r="B88">
            <v>99229.97</v>
          </cell>
          <cell r="C88">
            <v>181051.40000000002</v>
          </cell>
        </row>
        <row r="89">
          <cell r="A89" t="str">
            <v>PTH3</v>
          </cell>
          <cell r="B89">
            <v>61332.160000000003</v>
          </cell>
        </row>
        <row r="90">
          <cell r="A90" t="str">
            <v>PTH4</v>
          </cell>
          <cell r="B90">
            <v>12589.449999999997</v>
          </cell>
        </row>
        <row r="91">
          <cell r="A91" t="str">
            <v>PTH5</v>
          </cell>
          <cell r="B91">
            <v>24947.199999999997</v>
          </cell>
        </row>
        <row r="92">
          <cell r="A92" t="str">
            <v>PTH6</v>
          </cell>
          <cell r="B92">
            <v>28824</v>
          </cell>
          <cell r="C92">
            <v>84.79</v>
          </cell>
        </row>
        <row r="93">
          <cell r="A93" t="str">
            <v>RCH1</v>
          </cell>
          <cell r="B93">
            <v>12798.499999999985</v>
          </cell>
          <cell r="C93">
            <v>8985.0499999999993</v>
          </cell>
        </row>
        <row r="94">
          <cell r="A94" t="str">
            <v>RCH2</v>
          </cell>
          <cell r="B94">
            <v>17512.599999999991</v>
          </cell>
          <cell r="C94">
            <v>256564.30999999994</v>
          </cell>
        </row>
        <row r="95">
          <cell r="A95" t="str">
            <v>RCH3</v>
          </cell>
          <cell r="B95">
            <v>7277</v>
          </cell>
          <cell r="C95">
            <v>1460</v>
          </cell>
        </row>
        <row r="96">
          <cell r="A96" t="str">
            <v>RCH4</v>
          </cell>
          <cell r="B96">
            <v>1446.4700000000003</v>
          </cell>
          <cell r="C96">
            <v>40984.21</v>
          </cell>
        </row>
        <row r="97">
          <cell r="A97" t="str">
            <v>RCH5</v>
          </cell>
          <cell r="B97">
            <v>36695.649999999994</v>
          </cell>
        </row>
        <row r="98">
          <cell r="A98" t="str">
            <v>RCH6</v>
          </cell>
          <cell r="B98">
            <v>60805.429999999993</v>
          </cell>
        </row>
        <row r="99">
          <cell r="A99" t="str">
            <v>RIV1</v>
          </cell>
          <cell r="B99">
            <v>89313.379999999946</v>
          </cell>
          <cell r="C99">
            <v>271064.93000000005</v>
          </cell>
        </row>
        <row r="100">
          <cell r="A100" t="str">
            <v>RIV2</v>
          </cell>
          <cell r="B100">
            <v>56812.420000000006</v>
          </cell>
          <cell r="C100">
            <v>2402.6799999999998</v>
          </cell>
        </row>
        <row r="101">
          <cell r="A101" t="str">
            <v>RIV3</v>
          </cell>
          <cell r="B101">
            <v>68082.549999999974</v>
          </cell>
        </row>
        <row r="102">
          <cell r="A102" t="str">
            <v>RIV4</v>
          </cell>
          <cell r="B102">
            <v>14429.150000000001</v>
          </cell>
        </row>
        <row r="103">
          <cell r="A103" t="str">
            <v>RIVT</v>
          </cell>
          <cell r="B103">
            <v>4.0927261579781771E-12</v>
          </cell>
          <cell r="C103">
            <v>168140.58000000002</v>
          </cell>
        </row>
        <row r="104">
          <cell r="A104" t="str">
            <v>SAW1</v>
          </cell>
          <cell r="B104">
            <v>776957.96999999904</v>
          </cell>
          <cell r="C104">
            <v>391907.61</v>
          </cell>
        </row>
        <row r="105">
          <cell r="A105" t="str">
            <v>SAW2</v>
          </cell>
          <cell r="B105">
            <v>33089.329999999994</v>
          </cell>
          <cell r="C105">
            <v>23351.57</v>
          </cell>
        </row>
        <row r="106">
          <cell r="A106" t="str">
            <v>SAW3</v>
          </cell>
          <cell r="B106">
            <v>181984.36999999997</v>
          </cell>
          <cell r="C106">
            <v>1314.3999999999996</v>
          </cell>
        </row>
        <row r="107">
          <cell r="A107" t="str">
            <v>SAW4</v>
          </cell>
          <cell r="B107">
            <v>67663.45</v>
          </cell>
        </row>
        <row r="108">
          <cell r="A108" t="str">
            <v>SAWT</v>
          </cell>
          <cell r="B108">
            <v>28638.89</v>
          </cell>
          <cell r="C108">
            <v>132094.9</v>
          </cell>
        </row>
        <row r="109">
          <cell r="A109" t="str">
            <v>TEE1</v>
          </cell>
          <cell r="C109">
            <v>13220</v>
          </cell>
        </row>
        <row r="110">
          <cell r="A110" t="str">
            <v>TEE3</v>
          </cell>
          <cell r="B110">
            <v>15774.66</v>
          </cell>
          <cell r="C110">
            <v>1095</v>
          </cell>
        </row>
        <row r="111">
          <cell r="A111" t="str">
            <v>TNS1</v>
          </cell>
          <cell r="B111">
            <v>185194.62999999995</v>
          </cell>
          <cell r="C111">
            <v>198623.13</v>
          </cell>
        </row>
        <row r="112">
          <cell r="A112" t="str">
            <v>TNS2</v>
          </cell>
          <cell r="B112">
            <v>153003.95999999996</v>
          </cell>
          <cell r="C112">
            <v>377025.70999999996</v>
          </cell>
        </row>
        <row r="113">
          <cell r="A113" t="str">
            <v>TNS3</v>
          </cell>
          <cell r="B113">
            <v>117166.49000000002</v>
          </cell>
          <cell r="C113">
            <v>299256.8600000001</v>
          </cell>
        </row>
        <row r="114">
          <cell r="A114" t="str">
            <v>TNS4</v>
          </cell>
          <cell r="B114">
            <v>36869.190000000017</v>
          </cell>
          <cell r="C114">
            <v>13022.65</v>
          </cell>
        </row>
        <row r="115">
          <cell r="A115" t="str">
            <v>TNS5</v>
          </cell>
          <cell r="B115">
            <v>79391.62</v>
          </cell>
          <cell r="C115">
            <v>102598.38000000002</v>
          </cell>
        </row>
        <row r="116">
          <cell r="A116" t="str">
            <v>TNS6</v>
          </cell>
          <cell r="B116">
            <v>0</v>
          </cell>
        </row>
        <row r="117">
          <cell r="A117" t="str">
            <v>TOB1</v>
          </cell>
          <cell r="B117">
            <v>1393863.8600000006</v>
          </cell>
          <cell r="C117">
            <v>748521.23999999976</v>
          </cell>
        </row>
        <row r="118">
          <cell r="A118" t="str">
            <v>TOB2</v>
          </cell>
          <cell r="B118">
            <v>334788.66999999993</v>
          </cell>
          <cell r="C118">
            <v>110049.68999999999</v>
          </cell>
        </row>
        <row r="119">
          <cell r="A119" t="str">
            <v>TOB3</v>
          </cell>
          <cell r="B119">
            <v>475867.42999999993</v>
          </cell>
          <cell r="C119">
            <v>227956.01999999996</v>
          </cell>
        </row>
        <row r="120">
          <cell r="A120" t="str">
            <v>TOB4</v>
          </cell>
          <cell r="B120">
            <v>249595.53999999995</v>
          </cell>
          <cell r="C120">
            <v>60860.490000000013</v>
          </cell>
        </row>
        <row r="121">
          <cell r="A121" t="str">
            <v>TOB5</v>
          </cell>
          <cell r="B121">
            <v>9129.5299999999988</v>
          </cell>
          <cell r="C121">
            <v>968.75</v>
          </cell>
        </row>
        <row r="122">
          <cell r="A122" t="str">
            <v>TOB6</v>
          </cell>
          <cell r="C122">
            <v>1230</v>
          </cell>
        </row>
        <row r="123">
          <cell r="A123" t="str">
            <v>TOB7</v>
          </cell>
          <cell r="B123">
            <v>0</v>
          </cell>
          <cell r="C123">
            <v>0</v>
          </cell>
        </row>
        <row r="124">
          <cell r="A124" t="str">
            <v>TOB8</v>
          </cell>
          <cell r="C124">
            <v>0</v>
          </cell>
        </row>
        <row r="125">
          <cell r="A125" t="str">
            <v>WINT</v>
          </cell>
          <cell r="B125">
            <v>6.8212102632969618E-13</v>
          </cell>
          <cell r="C125">
            <v>225286.16000000003</v>
          </cell>
        </row>
        <row r="126">
          <cell r="A126" t="str">
            <v>WLG1</v>
          </cell>
          <cell r="B126">
            <v>46826.460000000006</v>
          </cell>
        </row>
        <row r="127">
          <cell r="A127" t="str">
            <v>WLG2</v>
          </cell>
          <cell r="B127">
            <v>67152.09</v>
          </cell>
        </row>
        <row r="128">
          <cell r="A128" t="str">
            <v>WLG3</v>
          </cell>
          <cell r="B128">
            <v>74198.369999999981</v>
          </cell>
        </row>
        <row r="129">
          <cell r="A129" t="str">
            <v>WLGT</v>
          </cell>
          <cell r="B129">
            <v>21909.8</v>
          </cell>
        </row>
        <row r="130">
          <cell r="A130" t="str">
            <v>APL1DD</v>
          </cell>
          <cell r="B130">
            <v>376576.01999999996</v>
          </cell>
          <cell r="C130">
            <v>11637.880000000001</v>
          </cell>
        </row>
        <row r="131">
          <cell r="A131" t="str">
            <v>APL2DD</v>
          </cell>
          <cell r="B131">
            <v>82353.539999999979</v>
          </cell>
          <cell r="C131">
            <v>26647.239999999994</v>
          </cell>
        </row>
        <row r="132">
          <cell r="A132" t="str">
            <v>APL3DD</v>
          </cell>
          <cell r="B132">
            <v>245953.01</v>
          </cell>
        </row>
        <row r="133">
          <cell r="A133" t="str">
            <v>APL4DD</v>
          </cell>
          <cell r="B133">
            <v>196049.16999999995</v>
          </cell>
          <cell r="C133">
            <v>3.51</v>
          </cell>
        </row>
        <row r="134">
          <cell r="A134" t="str">
            <v>APL5DD</v>
          </cell>
          <cell r="B134">
            <v>153800.33000000005</v>
          </cell>
          <cell r="C134">
            <v>75029.23</v>
          </cell>
        </row>
        <row r="135">
          <cell r="A135" t="str">
            <v>APL6DD</v>
          </cell>
          <cell r="B135">
            <v>80771.429999999949</v>
          </cell>
          <cell r="C135">
            <v>415.81</v>
          </cell>
        </row>
        <row r="136">
          <cell r="A136" t="str">
            <v>ARM1DD</v>
          </cell>
          <cell r="B136">
            <v>14289.14</v>
          </cell>
          <cell r="C136">
            <v>140.70999999999995</v>
          </cell>
        </row>
        <row r="137">
          <cell r="A137" t="str">
            <v>ARM2DD</v>
          </cell>
          <cell r="B137">
            <v>391.26</v>
          </cell>
        </row>
        <row r="138">
          <cell r="A138" t="str">
            <v>ARM4</v>
          </cell>
          <cell r="B138">
            <v>3848669.01</v>
          </cell>
          <cell r="C138">
            <v>1763698.2999999942</v>
          </cell>
        </row>
        <row r="139">
          <cell r="A139" t="str">
            <v>ARM4DD</v>
          </cell>
          <cell r="B139">
            <v>49104.090000000055</v>
          </cell>
          <cell r="C139">
            <v>0</v>
          </cell>
        </row>
        <row r="140">
          <cell r="A140" t="str">
            <v>ARM5</v>
          </cell>
          <cell r="B140">
            <v>4029563.3899999983</v>
          </cell>
          <cell r="C140">
            <v>1503643.6200000066</v>
          </cell>
        </row>
        <row r="141">
          <cell r="A141" t="str">
            <v>ARM5DD</v>
          </cell>
          <cell r="B141">
            <v>92669.890000000014</v>
          </cell>
          <cell r="C141">
            <v>3.637978807091713E-12</v>
          </cell>
        </row>
        <row r="142">
          <cell r="A142" t="str">
            <v>ARM6</v>
          </cell>
          <cell r="B142">
            <v>1728159.0600000052</v>
          </cell>
          <cell r="C142">
            <v>433873.91000000038</v>
          </cell>
        </row>
        <row r="143">
          <cell r="A143" t="str">
            <v>ARM6DD</v>
          </cell>
          <cell r="B143">
            <v>19326.200000000004</v>
          </cell>
          <cell r="C143">
            <v>-7.1054273576010019E-15</v>
          </cell>
        </row>
        <row r="144">
          <cell r="A144" t="str">
            <v>ARMFAN</v>
          </cell>
          <cell r="B144">
            <v>257127.63</v>
          </cell>
        </row>
        <row r="145">
          <cell r="A145" t="str">
            <v>ASH1DD</v>
          </cell>
          <cell r="B145">
            <v>47074.15</v>
          </cell>
        </row>
        <row r="146">
          <cell r="A146" t="str">
            <v>ASH2DD</v>
          </cell>
          <cell r="B146">
            <v>43561.14</v>
          </cell>
        </row>
        <row r="147">
          <cell r="A147" t="str">
            <v>ASH3DD</v>
          </cell>
          <cell r="B147">
            <v>34574.449999999983</v>
          </cell>
        </row>
        <row r="148">
          <cell r="A148" t="str">
            <v>BBE1DD</v>
          </cell>
          <cell r="B148">
            <v>839.5</v>
          </cell>
        </row>
        <row r="149">
          <cell r="A149" t="str">
            <v>BDB1DD</v>
          </cell>
          <cell r="B149">
            <v>109637.80000000005</v>
          </cell>
        </row>
        <row r="150">
          <cell r="A150" t="str">
            <v>BDB2DD</v>
          </cell>
          <cell r="B150">
            <v>165972.94999999998</v>
          </cell>
        </row>
        <row r="151">
          <cell r="A151" t="str">
            <v>BLK1DD</v>
          </cell>
          <cell r="B151">
            <v>244904.32000000018</v>
          </cell>
          <cell r="C151">
            <v>2093.34</v>
          </cell>
        </row>
        <row r="152">
          <cell r="A152" t="str">
            <v>BLK2DD</v>
          </cell>
          <cell r="B152">
            <v>308665.39000000031</v>
          </cell>
          <cell r="C152">
            <v>434.67</v>
          </cell>
        </row>
        <row r="153">
          <cell r="A153" t="str">
            <v>BLK3DD</v>
          </cell>
          <cell r="B153">
            <v>138875.57999999999</v>
          </cell>
        </row>
        <row r="154">
          <cell r="A154" t="str">
            <v>BLK4DD</v>
          </cell>
          <cell r="B154">
            <v>156416.06999999998</v>
          </cell>
          <cell r="C154">
            <v>17236.900000000001</v>
          </cell>
        </row>
        <row r="155">
          <cell r="A155" t="str">
            <v>BLK5DD</v>
          </cell>
          <cell r="B155">
            <v>194117.24000000002</v>
          </cell>
        </row>
        <row r="156">
          <cell r="A156" t="str">
            <v>BLK6DD</v>
          </cell>
          <cell r="B156">
            <v>113857.06000000001</v>
          </cell>
        </row>
        <row r="157">
          <cell r="A157" t="str">
            <v>BLK9DD</v>
          </cell>
          <cell r="B157">
            <v>81389.849999999991</v>
          </cell>
        </row>
        <row r="158">
          <cell r="A158" t="str">
            <v>BNACDD</v>
          </cell>
          <cell r="B158">
            <v>12437.080000000004</v>
          </cell>
        </row>
        <row r="159">
          <cell r="A159" t="str">
            <v>CAI1DD</v>
          </cell>
          <cell r="B159">
            <v>113225.28</v>
          </cell>
        </row>
        <row r="160">
          <cell r="A160" t="str">
            <v>CAI2DD</v>
          </cell>
          <cell r="B160">
            <v>300757.35000000003</v>
          </cell>
        </row>
        <row r="161">
          <cell r="A161" t="str">
            <v>CAI3DD</v>
          </cell>
          <cell r="B161">
            <v>84657.200000000012</v>
          </cell>
        </row>
        <row r="162">
          <cell r="A162" t="str">
            <v>CAI4DD</v>
          </cell>
          <cell r="B162">
            <v>14257.689999999999</v>
          </cell>
          <cell r="C162">
            <v>573.04</v>
          </cell>
        </row>
        <row r="163">
          <cell r="A163" t="str">
            <v>CAI5DD</v>
          </cell>
          <cell r="B163">
            <v>13390.23</v>
          </cell>
        </row>
        <row r="164">
          <cell r="A164" t="str">
            <v>CFS1DD</v>
          </cell>
          <cell r="B164">
            <v>146349.82</v>
          </cell>
        </row>
        <row r="165">
          <cell r="A165" t="str">
            <v>CFS2DD</v>
          </cell>
          <cell r="B165">
            <v>90157.580000000016</v>
          </cell>
        </row>
        <row r="166">
          <cell r="A166" t="str">
            <v>CFS3DD</v>
          </cell>
          <cell r="B166">
            <v>151361.09</v>
          </cell>
        </row>
        <row r="167">
          <cell r="A167" t="str">
            <v>CFS4DD</v>
          </cell>
          <cell r="B167">
            <v>154013.46000000002</v>
          </cell>
        </row>
        <row r="168">
          <cell r="A168" t="str">
            <v>CFS5DD</v>
          </cell>
          <cell r="B168">
            <v>215353.45</v>
          </cell>
        </row>
        <row r="169">
          <cell r="A169" t="str">
            <v>CFS6DD</v>
          </cell>
          <cell r="B169">
            <v>117818.44999999998</v>
          </cell>
        </row>
        <row r="170">
          <cell r="A170" t="str">
            <v>CFS7DD</v>
          </cell>
          <cell r="B170">
            <v>195753.33000000002</v>
          </cell>
        </row>
        <row r="171">
          <cell r="A171" t="str">
            <v>CFSWDD</v>
          </cell>
          <cell r="B171">
            <v>0</v>
          </cell>
        </row>
        <row r="172">
          <cell r="A172" t="str">
            <v>COR4DD</v>
          </cell>
          <cell r="B172">
            <v>22406.270000000004</v>
          </cell>
          <cell r="C172">
            <v>62.05</v>
          </cell>
        </row>
        <row r="173">
          <cell r="A173" t="str">
            <v>COR5DD</v>
          </cell>
          <cell r="B173">
            <v>11239.64</v>
          </cell>
        </row>
        <row r="174">
          <cell r="A174" t="str">
            <v>COR6DD</v>
          </cell>
          <cell r="B174">
            <v>63650.71</v>
          </cell>
          <cell r="C174">
            <v>93.07</v>
          </cell>
        </row>
        <row r="175">
          <cell r="A175" t="str">
            <v>COR7DD</v>
          </cell>
          <cell r="B175">
            <v>25168.12</v>
          </cell>
        </row>
        <row r="176">
          <cell r="A176" t="str">
            <v>COR8DD</v>
          </cell>
          <cell r="B176">
            <v>13971.479999999998</v>
          </cell>
        </row>
        <row r="177">
          <cell r="A177" t="str">
            <v>CRC1DD</v>
          </cell>
          <cell r="B177">
            <v>240771.02000000011</v>
          </cell>
          <cell r="C177">
            <v>4936.42</v>
          </cell>
        </row>
        <row r="178">
          <cell r="A178" t="str">
            <v>CRC2DD</v>
          </cell>
          <cell r="B178">
            <v>165323.58000000002</v>
          </cell>
          <cell r="C178">
            <v>3920.71</v>
          </cell>
        </row>
        <row r="179">
          <cell r="A179" t="str">
            <v>CRC3DD</v>
          </cell>
          <cell r="B179">
            <v>273522.14999999997</v>
          </cell>
          <cell r="C179">
            <v>208.98999999999998</v>
          </cell>
        </row>
        <row r="180">
          <cell r="A180" t="str">
            <v>CRC4DD</v>
          </cell>
          <cell r="B180">
            <v>136571.48000000001</v>
          </cell>
          <cell r="C180">
            <v>31767.47</v>
          </cell>
        </row>
        <row r="181">
          <cell r="A181" t="str">
            <v>CRC5DD</v>
          </cell>
          <cell r="B181">
            <v>284017.91000000003</v>
          </cell>
        </row>
        <row r="182">
          <cell r="A182" t="str">
            <v>CRC6DD</v>
          </cell>
          <cell r="B182">
            <v>181342.24999999994</v>
          </cell>
        </row>
        <row r="183">
          <cell r="A183" t="str">
            <v>CVI1DD</v>
          </cell>
          <cell r="B183">
            <v>7965.49</v>
          </cell>
        </row>
        <row r="184">
          <cell r="A184" t="str">
            <v>CVI2DD</v>
          </cell>
          <cell r="B184">
            <v>29499.210000000003</v>
          </cell>
        </row>
        <row r="185">
          <cell r="A185" t="str">
            <v>CVI3DD</v>
          </cell>
          <cell r="B185">
            <v>72018.570000000007</v>
          </cell>
        </row>
        <row r="186">
          <cell r="A186" t="str">
            <v>CVI4DD</v>
          </cell>
          <cell r="B186">
            <v>942.49</v>
          </cell>
        </row>
        <row r="187">
          <cell r="A187" t="str">
            <v>CVI5DD</v>
          </cell>
          <cell r="B187">
            <v>546.65</v>
          </cell>
        </row>
        <row r="188">
          <cell r="A188" t="str">
            <v>CVITDD</v>
          </cell>
          <cell r="B188">
            <v>42975.03</v>
          </cell>
        </row>
        <row r="189">
          <cell r="A189" t="str">
            <v>DAP1DD</v>
          </cell>
          <cell r="B189">
            <v>45776.29</v>
          </cell>
        </row>
        <row r="190">
          <cell r="A190" t="str">
            <v>DAP2DD</v>
          </cell>
          <cell r="B190">
            <v>131293.84</v>
          </cell>
          <cell r="C190">
            <v>2509.5700000000002</v>
          </cell>
        </row>
        <row r="191">
          <cell r="A191" t="str">
            <v>DAP3DD</v>
          </cell>
          <cell r="B191">
            <v>90476.359999999986</v>
          </cell>
        </row>
        <row r="192">
          <cell r="A192" t="str">
            <v>DAP4DD</v>
          </cell>
          <cell r="B192">
            <v>85455.29</v>
          </cell>
          <cell r="C192">
            <v>2508.75</v>
          </cell>
        </row>
        <row r="193">
          <cell r="A193" t="str">
            <v>DAP5DD</v>
          </cell>
          <cell r="B193">
            <v>119513.63</v>
          </cell>
        </row>
        <row r="194">
          <cell r="A194" t="str">
            <v>DAP6DD</v>
          </cell>
          <cell r="B194">
            <v>27887.96</v>
          </cell>
          <cell r="C194">
            <v>310.24</v>
          </cell>
        </row>
        <row r="195">
          <cell r="A195" t="str">
            <v>DBBWDD</v>
          </cell>
          <cell r="B195">
            <v>3218.2299999999996</v>
          </cell>
        </row>
        <row r="196">
          <cell r="A196" t="str">
            <v>GDN1DD</v>
          </cell>
          <cell r="B196">
            <v>408254.5500000001</v>
          </cell>
          <cell r="C196">
            <v>3660.7</v>
          </cell>
        </row>
        <row r="197">
          <cell r="A197" t="str">
            <v>GDN2DD</v>
          </cell>
          <cell r="B197">
            <v>378790.02000000008</v>
          </cell>
          <cell r="C197">
            <v>811.49000000000024</v>
          </cell>
        </row>
        <row r="198">
          <cell r="A198" t="str">
            <v>GDN3DD</v>
          </cell>
          <cell r="B198">
            <v>234900.78</v>
          </cell>
          <cell r="C198">
            <v>3286.2100000000009</v>
          </cell>
        </row>
        <row r="199">
          <cell r="A199" t="str">
            <v>GDN4DD</v>
          </cell>
          <cell r="B199">
            <v>214204.58</v>
          </cell>
          <cell r="C199">
            <v>310</v>
          </cell>
        </row>
        <row r="200">
          <cell r="A200" t="str">
            <v>GDN5DD</v>
          </cell>
          <cell r="B200">
            <v>104181.83000000003</v>
          </cell>
        </row>
        <row r="201">
          <cell r="A201" t="str">
            <v>GDN6DD</v>
          </cell>
          <cell r="B201">
            <v>130318.94000000006</v>
          </cell>
        </row>
        <row r="202">
          <cell r="A202" t="str">
            <v>GDN7DD</v>
          </cell>
          <cell r="B202">
            <v>134227.66</v>
          </cell>
        </row>
        <row r="203">
          <cell r="A203" t="str">
            <v>GDN8DD</v>
          </cell>
          <cell r="B203">
            <v>86998.019999999946</v>
          </cell>
        </row>
        <row r="204">
          <cell r="A204" t="str">
            <v>GDN9DD</v>
          </cell>
          <cell r="B204">
            <v>4355.41</v>
          </cell>
        </row>
        <row r="205">
          <cell r="A205" t="str">
            <v>GOS1DD</v>
          </cell>
          <cell r="B205">
            <v>192736.15</v>
          </cell>
          <cell r="C205">
            <v>6675.18</v>
          </cell>
        </row>
        <row r="206">
          <cell r="A206" t="str">
            <v>GOS2DD</v>
          </cell>
          <cell r="B206">
            <v>474663.11</v>
          </cell>
          <cell r="C206">
            <v>30908.76</v>
          </cell>
        </row>
        <row r="207">
          <cell r="A207" t="str">
            <v>GOS3DD</v>
          </cell>
          <cell r="B207">
            <v>182991.85</v>
          </cell>
        </row>
        <row r="208">
          <cell r="A208" t="str">
            <v>GOS4DD</v>
          </cell>
          <cell r="B208">
            <v>176304.65</v>
          </cell>
        </row>
        <row r="209">
          <cell r="A209" t="str">
            <v>GOS5DD</v>
          </cell>
          <cell r="B209">
            <v>89908.900000000038</v>
          </cell>
        </row>
        <row r="210">
          <cell r="A210" t="str">
            <v>GOS6DD</v>
          </cell>
          <cell r="B210">
            <v>157992.23000000001</v>
          </cell>
        </row>
        <row r="211">
          <cell r="A211" t="str">
            <v>GOS7DD</v>
          </cell>
          <cell r="B211">
            <v>113600.23000000001</v>
          </cell>
        </row>
        <row r="212">
          <cell r="A212" t="str">
            <v>GOS8DD</v>
          </cell>
          <cell r="B212">
            <v>121840.58999999998</v>
          </cell>
          <cell r="C212">
            <v>682.86</v>
          </cell>
        </row>
        <row r="213">
          <cell r="A213" t="str">
            <v>GUL1DD</v>
          </cell>
          <cell r="B213">
            <v>4144.2199999999993</v>
          </cell>
        </row>
        <row r="214">
          <cell r="A214" t="str">
            <v>GUL2DD</v>
          </cell>
          <cell r="B214">
            <v>415269.96999999991</v>
          </cell>
          <cell r="C214">
            <v>1008.4499999999999</v>
          </cell>
        </row>
        <row r="215">
          <cell r="A215" t="str">
            <v>GUL3DD</v>
          </cell>
          <cell r="B215">
            <v>520292.90999999992</v>
          </cell>
          <cell r="C215">
            <v>54</v>
          </cell>
        </row>
        <row r="216">
          <cell r="A216" t="str">
            <v>GUL4DD</v>
          </cell>
          <cell r="B216">
            <v>364047.22999999992</v>
          </cell>
          <cell r="C216">
            <v>1307.3699999999999</v>
          </cell>
        </row>
        <row r="217">
          <cell r="A217" t="str">
            <v>GUL5DD</v>
          </cell>
          <cell r="B217">
            <v>315435.20999999996</v>
          </cell>
          <cell r="C217">
            <v>368</v>
          </cell>
        </row>
        <row r="218">
          <cell r="A218" t="str">
            <v>GUL6DD</v>
          </cell>
          <cell r="B218">
            <v>247509.52000000005</v>
          </cell>
        </row>
        <row r="219">
          <cell r="A219" t="str">
            <v>GUL7DD</v>
          </cell>
          <cell r="B219">
            <v>16481.069999999996</v>
          </cell>
          <cell r="C219">
            <v>557.90000000000009</v>
          </cell>
        </row>
        <row r="220">
          <cell r="A220" t="str">
            <v>GULTDD</v>
          </cell>
          <cell r="B220">
            <v>30897.510000000002</v>
          </cell>
          <cell r="C220">
            <v>113608.18</v>
          </cell>
        </row>
        <row r="221">
          <cell r="A221" t="str">
            <v>HOM1DD</v>
          </cell>
          <cell r="B221">
            <v>149858.55999999994</v>
          </cell>
        </row>
        <row r="222">
          <cell r="A222" t="str">
            <v>HOM2DD</v>
          </cell>
          <cell r="B222">
            <v>217727.89999999997</v>
          </cell>
        </row>
        <row r="223">
          <cell r="A223" t="str">
            <v>HOM3DD</v>
          </cell>
          <cell r="B223">
            <v>63502.799999999988</v>
          </cell>
        </row>
        <row r="224">
          <cell r="A224" t="str">
            <v>HOM4DD</v>
          </cell>
          <cell r="B224">
            <v>40071.24</v>
          </cell>
        </row>
        <row r="225">
          <cell r="A225" t="str">
            <v>IPS1DD</v>
          </cell>
          <cell r="B225">
            <v>1497.76</v>
          </cell>
        </row>
        <row r="226">
          <cell r="A226" t="str">
            <v>IPS2DD</v>
          </cell>
          <cell r="B226">
            <v>218617.49</v>
          </cell>
          <cell r="C226">
            <v>15882.930000000002</v>
          </cell>
        </row>
        <row r="227">
          <cell r="A227" t="str">
            <v>IPS4DD</v>
          </cell>
          <cell r="B227">
            <v>152863.81</v>
          </cell>
        </row>
        <row r="228">
          <cell r="A228" t="str">
            <v>IPS8DD</v>
          </cell>
          <cell r="B228">
            <v>136.66</v>
          </cell>
        </row>
        <row r="229">
          <cell r="A229" t="str">
            <v>KIA1DD</v>
          </cell>
          <cell r="B229">
            <v>4459.6500000000005</v>
          </cell>
        </row>
        <row r="230">
          <cell r="A230" t="str">
            <v>KIA2DD</v>
          </cell>
          <cell r="B230">
            <v>517646.87000000017</v>
          </cell>
          <cell r="C230">
            <v>4473.7999999999993</v>
          </cell>
        </row>
        <row r="231">
          <cell r="A231" t="str">
            <v>KIA3DD</v>
          </cell>
          <cell r="B231">
            <v>434698.23999999982</v>
          </cell>
          <cell r="C231">
            <v>2207.6400000000008</v>
          </cell>
        </row>
        <row r="232">
          <cell r="A232" t="str">
            <v>KLG1DD</v>
          </cell>
          <cell r="B232">
            <v>261345.00999999983</v>
          </cell>
          <cell r="C232">
            <v>26369.1</v>
          </cell>
        </row>
        <row r="233">
          <cell r="A233" t="str">
            <v>KLG4DD</v>
          </cell>
          <cell r="B233">
            <v>126422.27000000002</v>
          </cell>
          <cell r="C233">
            <v>16768.93</v>
          </cell>
        </row>
        <row r="234">
          <cell r="A234" t="str">
            <v>KLG7DD</v>
          </cell>
          <cell r="B234">
            <v>1782</v>
          </cell>
        </row>
        <row r="235">
          <cell r="A235" t="str">
            <v>LID1DD</v>
          </cell>
          <cell r="B235">
            <v>174445.18</v>
          </cell>
          <cell r="C235">
            <v>1079.05</v>
          </cell>
        </row>
        <row r="236">
          <cell r="A236" t="str">
            <v>LID2DD</v>
          </cell>
          <cell r="B236">
            <v>238061.73999999993</v>
          </cell>
        </row>
        <row r="237">
          <cell r="A237" t="str">
            <v>LID3DD</v>
          </cell>
          <cell r="B237">
            <v>191173.90000000002</v>
          </cell>
        </row>
        <row r="238">
          <cell r="A238" t="str">
            <v>LID4DD</v>
          </cell>
          <cell r="B238">
            <v>94122.55</v>
          </cell>
        </row>
        <row r="239">
          <cell r="A239" t="str">
            <v>LID5DD</v>
          </cell>
          <cell r="B239">
            <v>34608.57</v>
          </cell>
        </row>
        <row r="240">
          <cell r="A240" t="str">
            <v>LID6DD</v>
          </cell>
          <cell r="B240">
            <v>26890.260000000002</v>
          </cell>
        </row>
        <row r="241">
          <cell r="A241" t="str">
            <v>LID7DD</v>
          </cell>
          <cell r="B241">
            <v>27154.140000000003</v>
          </cell>
        </row>
        <row r="242">
          <cell r="A242" t="str">
            <v>LID8DD</v>
          </cell>
          <cell r="B242">
            <v>53885.79</v>
          </cell>
        </row>
        <row r="243">
          <cell r="A243" t="str">
            <v>LIV4DD</v>
          </cell>
          <cell r="B243">
            <v>3748.46</v>
          </cell>
        </row>
        <row r="244">
          <cell r="A244" t="str">
            <v>LJT1DD</v>
          </cell>
          <cell r="B244">
            <v>280846.01</v>
          </cell>
          <cell r="C244">
            <v>2013.2</v>
          </cell>
        </row>
        <row r="245">
          <cell r="A245" t="str">
            <v>LJT2DD</v>
          </cell>
          <cell r="B245">
            <v>323071.81</v>
          </cell>
        </row>
        <row r="246">
          <cell r="A246" t="str">
            <v>LJT3DD</v>
          </cell>
          <cell r="B246">
            <v>156325.13999999998</v>
          </cell>
        </row>
        <row r="247">
          <cell r="A247" t="str">
            <v>LJT4DD</v>
          </cell>
          <cell r="B247">
            <v>282292.86</v>
          </cell>
          <cell r="C247">
            <v>2990</v>
          </cell>
        </row>
        <row r="248">
          <cell r="A248" t="str">
            <v>LJT5DD</v>
          </cell>
          <cell r="B248">
            <v>64062.069999999992</v>
          </cell>
        </row>
        <row r="249">
          <cell r="A249" t="str">
            <v>LJT6DD</v>
          </cell>
          <cell r="B249">
            <v>114111.29000000001</v>
          </cell>
          <cell r="C249">
            <v>629.41000000000008</v>
          </cell>
        </row>
        <row r="250">
          <cell r="A250" t="str">
            <v>LJT7DD</v>
          </cell>
          <cell r="B250">
            <v>99823.220000000016</v>
          </cell>
        </row>
        <row r="251">
          <cell r="A251" t="str">
            <v>LJT8DD</v>
          </cell>
          <cell r="B251">
            <v>6769.7800000000007</v>
          </cell>
        </row>
        <row r="252">
          <cell r="A252" t="str">
            <v>LJT9DD</v>
          </cell>
          <cell r="B252">
            <v>4685.58</v>
          </cell>
        </row>
        <row r="253">
          <cell r="A253" t="str">
            <v>MAI3DD</v>
          </cell>
          <cell r="B253">
            <v>9159.42</v>
          </cell>
        </row>
        <row r="254">
          <cell r="A254" t="str">
            <v>MAI7DD</v>
          </cell>
          <cell r="B254">
            <v>4972.8899999999994</v>
          </cell>
        </row>
        <row r="255">
          <cell r="A255" t="str">
            <v>MDG1DD</v>
          </cell>
          <cell r="B255">
            <v>4766.97</v>
          </cell>
          <cell r="C255">
            <v>1998.09</v>
          </cell>
        </row>
        <row r="256">
          <cell r="A256" t="str">
            <v>MDG2DD</v>
          </cell>
          <cell r="B256">
            <v>4937.2100000000009</v>
          </cell>
        </row>
        <row r="257">
          <cell r="A257" t="str">
            <v>MDG3DD</v>
          </cell>
          <cell r="B257">
            <v>11123</v>
          </cell>
        </row>
        <row r="258">
          <cell r="A258" t="str">
            <v>MKY1DD</v>
          </cell>
          <cell r="B258">
            <v>197676.97000000003</v>
          </cell>
        </row>
        <row r="259">
          <cell r="A259" t="str">
            <v>MKY2DD</v>
          </cell>
          <cell r="B259">
            <v>232443.68000000002</v>
          </cell>
        </row>
        <row r="260">
          <cell r="A260" t="str">
            <v>MKY3DD</v>
          </cell>
          <cell r="B260">
            <v>246004.17999999996</v>
          </cell>
          <cell r="C260">
            <v>-1.4210854715202004E-14</v>
          </cell>
        </row>
        <row r="261">
          <cell r="A261" t="str">
            <v>MKY4DD</v>
          </cell>
          <cell r="B261">
            <v>16859.379999999997</v>
          </cell>
          <cell r="C261">
            <v>-1.4210854715202004E-14</v>
          </cell>
        </row>
        <row r="262">
          <cell r="A262" t="str">
            <v>MKY5DD</v>
          </cell>
          <cell r="B262">
            <v>399.49</v>
          </cell>
        </row>
        <row r="263">
          <cell r="A263" t="str">
            <v>NDG1DD</v>
          </cell>
          <cell r="B263">
            <v>128978.36000000004</v>
          </cell>
          <cell r="C263">
            <v>1440.8</v>
          </cell>
        </row>
        <row r="264">
          <cell r="A264" t="str">
            <v>NDG2DD</v>
          </cell>
          <cell r="B264">
            <v>123955.95999999998</v>
          </cell>
          <cell r="C264">
            <v>6629.9500000000007</v>
          </cell>
        </row>
        <row r="265">
          <cell r="A265" t="str">
            <v>NDG3DD</v>
          </cell>
          <cell r="B265">
            <v>209259.67</v>
          </cell>
          <cell r="C265">
            <v>1024.7</v>
          </cell>
        </row>
        <row r="266">
          <cell r="A266" t="str">
            <v>NDG4DD</v>
          </cell>
          <cell r="B266">
            <v>6991.08</v>
          </cell>
        </row>
        <row r="267">
          <cell r="A267" t="str">
            <v>PTH1DD</v>
          </cell>
          <cell r="B267">
            <v>127608.76000000001</v>
          </cell>
          <cell r="C267">
            <v>250.2</v>
          </cell>
        </row>
        <row r="268">
          <cell r="A268" t="str">
            <v>PTH2DD</v>
          </cell>
          <cell r="B268">
            <v>207294.71999999997</v>
          </cell>
          <cell r="C268">
            <v>6033.8</v>
          </cell>
        </row>
        <row r="269">
          <cell r="A269" t="str">
            <v>PTH3DD</v>
          </cell>
          <cell r="B269">
            <v>122153.26000000001</v>
          </cell>
        </row>
        <row r="270">
          <cell r="A270" t="str">
            <v>PTH4DD</v>
          </cell>
          <cell r="B270">
            <v>135605.55999999997</v>
          </cell>
        </row>
        <row r="271">
          <cell r="A271" t="str">
            <v>PTH5DD</v>
          </cell>
          <cell r="B271">
            <v>35309.75</v>
          </cell>
        </row>
        <row r="272">
          <cell r="A272" t="str">
            <v>PTH6DD</v>
          </cell>
          <cell r="B272">
            <v>80007.460000000006</v>
          </cell>
        </row>
        <row r="273">
          <cell r="A273" t="str">
            <v>PTH7DD</v>
          </cell>
          <cell r="B273">
            <v>38265.589999999997</v>
          </cell>
        </row>
        <row r="274">
          <cell r="A274" t="str">
            <v>QBN3DD</v>
          </cell>
          <cell r="B274">
            <v>2498.98</v>
          </cell>
        </row>
        <row r="275">
          <cell r="A275" t="str">
            <v>QBN4DD</v>
          </cell>
          <cell r="B275">
            <v>156.19</v>
          </cell>
        </row>
        <row r="276">
          <cell r="A276" t="str">
            <v>QBN6DD</v>
          </cell>
          <cell r="B276">
            <v>156.19</v>
          </cell>
        </row>
        <row r="277">
          <cell r="A277" t="str">
            <v>RCH1DD</v>
          </cell>
          <cell r="B277">
            <v>282833.82999999996</v>
          </cell>
          <cell r="C277">
            <v>7768.8899999999994</v>
          </cell>
        </row>
        <row r="278">
          <cell r="A278" t="str">
            <v>RCH2DD</v>
          </cell>
          <cell r="B278">
            <v>230166.41999999998</v>
          </cell>
          <cell r="C278">
            <v>3088.7999999999997</v>
          </cell>
        </row>
        <row r="279">
          <cell r="A279" t="str">
            <v>RCH3DD</v>
          </cell>
          <cell r="B279">
            <v>225934.63999999998</v>
          </cell>
          <cell r="C279">
            <v>2502</v>
          </cell>
        </row>
        <row r="280">
          <cell r="A280" t="str">
            <v>RCH4DD</v>
          </cell>
          <cell r="B280">
            <v>243584.2</v>
          </cell>
          <cell r="C280">
            <v>2459.6999999999998</v>
          </cell>
        </row>
        <row r="281">
          <cell r="A281" t="str">
            <v>RCH5DD</v>
          </cell>
          <cell r="B281">
            <v>169909.42999999993</v>
          </cell>
        </row>
        <row r="282">
          <cell r="A282" t="str">
            <v>RCH6DD</v>
          </cell>
          <cell r="B282">
            <v>151732.55999999997</v>
          </cell>
        </row>
        <row r="283">
          <cell r="A283" t="str">
            <v>RCHTDD</v>
          </cell>
          <cell r="B283">
            <v>84876.329999999987</v>
          </cell>
          <cell r="C283">
            <v>1484.6999999999998</v>
          </cell>
        </row>
        <row r="284">
          <cell r="A284" t="str">
            <v>RIV1DD</v>
          </cell>
          <cell r="B284">
            <v>503278.5900000002</v>
          </cell>
          <cell r="C284">
            <v>1458.38</v>
          </cell>
        </row>
        <row r="285">
          <cell r="A285" t="str">
            <v>RIV2DD</v>
          </cell>
          <cell r="B285">
            <v>146158.44</v>
          </cell>
        </row>
        <row r="286">
          <cell r="A286" t="str">
            <v>RIV3DD</v>
          </cell>
          <cell r="B286">
            <v>133239.83999999997</v>
          </cell>
        </row>
        <row r="287">
          <cell r="A287" t="str">
            <v>RIV4DD</v>
          </cell>
          <cell r="B287">
            <v>89351.429999999935</v>
          </cell>
        </row>
        <row r="288">
          <cell r="A288" t="str">
            <v>RIVTDD</v>
          </cell>
          <cell r="B288">
            <v>197070.55000000005</v>
          </cell>
          <cell r="C288">
            <v>293.7</v>
          </cell>
        </row>
        <row r="289">
          <cell r="A289" t="str">
            <v>ROT1DD</v>
          </cell>
          <cell r="B289">
            <v>12741.119999999999</v>
          </cell>
          <cell r="C289">
            <v>1.1368683772161603E-13</v>
          </cell>
        </row>
        <row r="290">
          <cell r="A290" t="str">
            <v>ROT2DD</v>
          </cell>
          <cell r="B290">
            <v>30435.599999999999</v>
          </cell>
          <cell r="C290">
            <v>49251.15</v>
          </cell>
        </row>
        <row r="291">
          <cell r="A291" t="str">
            <v>ROT3DD</v>
          </cell>
          <cell r="B291">
            <v>39.89</v>
          </cell>
        </row>
        <row r="292">
          <cell r="A292" t="str">
            <v>SAW1DD</v>
          </cell>
          <cell r="B292">
            <v>246556.60000000003</v>
          </cell>
        </row>
        <row r="293">
          <cell r="A293" t="str">
            <v>SAW2DD</v>
          </cell>
          <cell r="B293">
            <v>191143.44999999995</v>
          </cell>
        </row>
        <row r="294">
          <cell r="A294" t="str">
            <v>SAW3DD</v>
          </cell>
          <cell r="B294">
            <v>84606.66</v>
          </cell>
        </row>
        <row r="295">
          <cell r="A295" t="str">
            <v>SAW4DD</v>
          </cell>
          <cell r="B295">
            <v>107439.61</v>
          </cell>
        </row>
        <row r="296">
          <cell r="A296" t="str">
            <v>SAWTDD</v>
          </cell>
          <cell r="B296">
            <v>276902.93999999994</v>
          </cell>
          <cell r="C296">
            <v>591.14</v>
          </cell>
        </row>
        <row r="297">
          <cell r="A297" t="str">
            <v>SLA1DD</v>
          </cell>
          <cell r="B297">
            <v>47120.28</v>
          </cell>
        </row>
        <row r="298">
          <cell r="A298" t="str">
            <v>SLA2DD</v>
          </cell>
          <cell r="B298">
            <v>24276.78</v>
          </cell>
        </row>
        <row r="299">
          <cell r="A299" t="str">
            <v>SLA3DD</v>
          </cell>
          <cell r="B299">
            <v>19583.8</v>
          </cell>
        </row>
        <row r="300">
          <cell r="A300" t="str">
            <v>SP1018</v>
          </cell>
          <cell r="B300">
            <v>8.5265128291212022E-14</v>
          </cell>
        </row>
        <row r="301">
          <cell r="A301" t="str">
            <v>SP1020</v>
          </cell>
          <cell r="B301">
            <v>-1.7763568394002505E-15</v>
          </cell>
        </row>
        <row r="302">
          <cell r="A302" t="str">
            <v>TAMW06</v>
          </cell>
          <cell r="B302">
            <v>48850.55999999999</v>
          </cell>
          <cell r="C302">
            <v>46368.359999999993</v>
          </cell>
        </row>
        <row r="303">
          <cell r="A303" t="str">
            <v>TAMW16</v>
          </cell>
          <cell r="B303">
            <v>87701</v>
          </cell>
          <cell r="C303">
            <v>54003.44999999999</v>
          </cell>
        </row>
        <row r="304">
          <cell r="A304" t="str">
            <v>TAMW23</v>
          </cell>
          <cell r="B304">
            <v>157780.14000000001</v>
          </cell>
          <cell r="C304">
            <v>38049.760000000002</v>
          </cell>
        </row>
        <row r="305">
          <cell r="A305" t="str">
            <v>TAMWDD</v>
          </cell>
          <cell r="B305">
            <v>27845.529999999995</v>
          </cell>
          <cell r="C305">
            <v>15607.4</v>
          </cell>
        </row>
        <row r="306">
          <cell r="A306" t="str">
            <v>TEE1DD</v>
          </cell>
          <cell r="B306">
            <v>299.57</v>
          </cell>
        </row>
        <row r="307">
          <cell r="A307" t="str">
            <v>TEE2DD</v>
          </cell>
          <cell r="B307">
            <v>108027.01</v>
          </cell>
          <cell r="C307">
            <v>1015.48</v>
          </cell>
        </row>
        <row r="308">
          <cell r="A308" t="str">
            <v>TEE3DD</v>
          </cell>
          <cell r="B308">
            <v>82412.88</v>
          </cell>
          <cell r="C308">
            <v>1468.7399999999996</v>
          </cell>
        </row>
        <row r="309">
          <cell r="A309" t="str">
            <v>TEE4DD</v>
          </cell>
          <cell r="B309">
            <v>92963.49</v>
          </cell>
          <cell r="C309">
            <v>960</v>
          </cell>
        </row>
        <row r="310">
          <cell r="A310" t="str">
            <v>TEE5DD</v>
          </cell>
          <cell r="B310">
            <v>771.24</v>
          </cell>
        </row>
        <row r="311">
          <cell r="A311" t="str">
            <v>TNS1DD</v>
          </cell>
          <cell r="B311">
            <v>98338.560000000012</v>
          </cell>
        </row>
        <row r="312">
          <cell r="A312" t="str">
            <v>TNS2DD</v>
          </cell>
          <cell r="B312">
            <v>114669.28000000001</v>
          </cell>
        </row>
        <row r="313">
          <cell r="A313" t="str">
            <v>TNS3DD</v>
          </cell>
          <cell r="B313">
            <v>144941.97</v>
          </cell>
        </row>
        <row r="314">
          <cell r="A314" t="str">
            <v>TNS4DD</v>
          </cell>
          <cell r="B314">
            <v>181678.34999999995</v>
          </cell>
        </row>
        <row r="315">
          <cell r="A315" t="str">
            <v>TNS5DD</v>
          </cell>
          <cell r="B315">
            <v>201037.75</v>
          </cell>
        </row>
        <row r="316">
          <cell r="A316" t="str">
            <v>TNS6DD</v>
          </cell>
          <cell r="B316">
            <v>57998.249999999993</v>
          </cell>
          <cell r="C316">
            <v>1208.7199999999998</v>
          </cell>
        </row>
        <row r="317">
          <cell r="A317" t="str">
            <v>TOB1DD</v>
          </cell>
          <cell r="B317">
            <v>374860.91000000021</v>
          </cell>
          <cell r="C317">
            <v>2079.7100000000005</v>
          </cell>
        </row>
        <row r="318">
          <cell r="A318" t="str">
            <v>TOB2DD</v>
          </cell>
          <cell r="B318">
            <v>385713.89</v>
          </cell>
          <cell r="C318">
            <v>3471.75</v>
          </cell>
        </row>
        <row r="319">
          <cell r="A319" t="str">
            <v>TOB3DD</v>
          </cell>
          <cell r="B319">
            <v>247000.28999999998</v>
          </cell>
          <cell r="C319">
            <v>346.3599999999999</v>
          </cell>
        </row>
        <row r="320">
          <cell r="A320" t="str">
            <v>TOB4DD</v>
          </cell>
          <cell r="B320">
            <v>207162.8</v>
          </cell>
          <cell r="C320">
            <v>528.27</v>
          </cell>
        </row>
        <row r="321">
          <cell r="A321" t="str">
            <v>TOB5DD</v>
          </cell>
          <cell r="B321">
            <v>210860.46999999997</v>
          </cell>
        </row>
        <row r="322">
          <cell r="A322" t="str">
            <v>TOB6DD</v>
          </cell>
          <cell r="B322">
            <v>256832.35</v>
          </cell>
        </row>
        <row r="323">
          <cell r="A323" t="str">
            <v>TOB7DD</v>
          </cell>
          <cell r="B323">
            <v>94037.190000000031</v>
          </cell>
          <cell r="C323">
            <v>320</v>
          </cell>
        </row>
        <row r="324">
          <cell r="A324" t="str">
            <v>TOB8DD</v>
          </cell>
          <cell r="B324">
            <v>67135.760000000009</v>
          </cell>
          <cell r="C324">
            <v>320</v>
          </cell>
        </row>
        <row r="325">
          <cell r="A325" t="str">
            <v>TOB9DD</v>
          </cell>
          <cell r="B325">
            <v>127281.08000000002</v>
          </cell>
        </row>
        <row r="326">
          <cell r="A326" t="str">
            <v>TOBW03</v>
          </cell>
          <cell r="B326">
            <v>95947.03</v>
          </cell>
          <cell r="C326">
            <v>67063.670000000013</v>
          </cell>
        </row>
        <row r="327">
          <cell r="A327" t="str">
            <v>TOBW15</v>
          </cell>
          <cell r="B327">
            <v>7576.3000000000011</v>
          </cell>
          <cell r="C327">
            <v>300</v>
          </cell>
        </row>
        <row r="328">
          <cell r="A328" t="str">
            <v>TOBWDD</v>
          </cell>
          <cell r="B328">
            <v>24071.99</v>
          </cell>
          <cell r="C328">
            <v>24552.38</v>
          </cell>
        </row>
        <row r="329">
          <cell r="A329" t="str">
            <v>WAG2DD</v>
          </cell>
          <cell r="B329">
            <v>234.28</v>
          </cell>
        </row>
        <row r="330">
          <cell r="A330" t="str">
            <v>WINTDD</v>
          </cell>
          <cell r="B330">
            <v>54109.740000000005</v>
          </cell>
          <cell r="C330">
            <v>42563.110000000008</v>
          </cell>
        </row>
        <row r="331">
          <cell r="A331" t="str">
            <v>WLG1DD</v>
          </cell>
          <cell r="B331">
            <v>193873.21</v>
          </cell>
          <cell r="C331">
            <v>68.77000000000001</v>
          </cell>
        </row>
        <row r="332">
          <cell r="A332" t="str">
            <v>WLG2DD</v>
          </cell>
          <cell r="B332">
            <v>145388.30999999994</v>
          </cell>
        </row>
        <row r="333">
          <cell r="A333" t="str">
            <v>WLG3DD</v>
          </cell>
          <cell r="B333">
            <v>48568.59</v>
          </cell>
        </row>
        <row r="334">
          <cell r="A334" t="str">
            <v>WLG4DD</v>
          </cell>
          <cell r="B334">
            <v>59424.29</v>
          </cell>
          <cell r="C334">
            <v>1695.26</v>
          </cell>
        </row>
        <row r="335">
          <cell r="A335" t="str">
            <v>WLG5DD</v>
          </cell>
          <cell r="B335">
            <v>21380.59</v>
          </cell>
        </row>
        <row r="336">
          <cell r="A336" t="str">
            <v>WLG6DD</v>
          </cell>
          <cell r="B336">
            <v>19953.259999999998</v>
          </cell>
        </row>
        <row r="337">
          <cell r="A337" t="str">
            <v>WLGTDD</v>
          </cell>
          <cell r="B337">
            <v>18676.009999999998</v>
          </cell>
        </row>
        <row r="338">
          <cell r="A338" t="str">
            <v>CFSWWDD</v>
          </cell>
          <cell r="B338">
            <v>7925.7599999999948</v>
          </cell>
        </row>
        <row r="339">
          <cell r="A339" t="str">
            <v>COR11DD</v>
          </cell>
          <cell r="B339">
            <v>51555.35</v>
          </cell>
          <cell r="C339">
            <v>3093.84</v>
          </cell>
        </row>
        <row r="340">
          <cell r="A340" t="str">
            <v>HARRWDD</v>
          </cell>
          <cell r="B340">
            <v>1105.3200000000002</v>
          </cell>
        </row>
        <row r="341">
          <cell r="A341" t="str">
            <v>MAI11DD</v>
          </cell>
          <cell r="B341">
            <v>596.45000000000005</v>
          </cell>
        </row>
        <row r="342">
          <cell r="A342" t="str">
            <v>RCHRIVT</v>
          </cell>
          <cell r="B342">
            <v>27885.400000000012</v>
          </cell>
          <cell r="C342">
            <v>1440</v>
          </cell>
        </row>
        <row r="343">
          <cell r="A343" t="str">
            <v>RCHWINT</v>
          </cell>
          <cell r="B343">
            <v>6314.2000000000007</v>
          </cell>
        </row>
        <row r="344">
          <cell r="A344" t="str">
            <v>AARAARDD</v>
          </cell>
          <cell r="B344">
            <v>9345.49</v>
          </cell>
        </row>
        <row r="345">
          <cell r="A345" t="str">
            <v>ACOCPTDD</v>
          </cell>
          <cell r="B345">
            <v>272.59000000000003</v>
          </cell>
        </row>
        <row r="346">
          <cell r="A346" t="str">
            <v>AIRWDWDD</v>
          </cell>
          <cell r="B346">
            <v>13627.47</v>
          </cell>
        </row>
        <row r="347">
          <cell r="A347" t="str">
            <v>APLAPLDD</v>
          </cell>
          <cell r="B347">
            <v>24578.99</v>
          </cell>
        </row>
        <row r="348">
          <cell r="A348" t="str">
            <v>APLCHDDD</v>
          </cell>
          <cell r="B348">
            <v>29302.470000000005</v>
          </cell>
          <cell r="C348">
            <v>2031</v>
          </cell>
        </row>
        <row r="349">
          <cell r="A349" t="str">
            <v>AYRAYWDD</v>
          </cell>
          <cell r="B349">
            <v>13877.73</v>
          </cell>
        </row>
        <row r="350">
          <cell r="A350" t="str">
            <v>AYRBRWDD</v>
          </cell>
          <cell r="B350">
            <v>25687.000000000007</v>
          </cell>
        </row>
        <row r="351">
          <cell r="A351" t="str">
            <v>BKSBKTDD</v>
          </cell>
          <cell r="B351">
            <v>234.28</v>
          </cell>
        </row>
        <row r="352">
          <cell r="A352" t="str">
            <v>BRAIPTDD</v>
          </cell>
          <cell r="B352">
            <v>1092.48</v>
          </cell>
        </row>
        <row r="353">
          <cell r="A353" t="str">
            <v>BURSLTDD</v>
          </cell>
          <cell r="B353">
            <v>11602.73</v>
          </cell>
        </row>
        <row r="354">
          <cell r="A354" t="str">
            <v>BWEBOWDD</v>
          </cell>
          <cell r="B354">
            <v>2260.63</v>
          </cell>
        </row>
        <row r="355">
          <cell r="A355" t="str">
            <v>CLICFWDD</v>
          </cell>
          <cell r="B355">
            <v>234.28</v>
          </cell>
        </row>
        <row r="356">
          <cell r="A356" t="str">
            <v>CPHACTDD</v>
          </cell>
          <cell r="B356">
            <v>195.23</v>
          </cell>
        </row>
        <row r="357">
          <cell r="A357" t="str">
            <v>CTRCHWDD</v>
          </cell>
          <cell r="B357">
            <v>4700.6399999999994</v>
          </cell>
        </row>
        <row r="358">
          <cell r="A358" t="str">
            <v>CVIDKTDD</v>
          </cell>
          <cell r="B358">
            <v>1700.5</v>
          </cell>
        </row>
        <row r="359">
          <cell r="A359" t="str">
            <v>CVIMKTDD</v>
          </cell>
          <cell r="B359">
            <v>31390.79</v>
          </cell>
        </row>
        <row r="360">
          <cell r="A360" t="str">
            <v>CYSEASDD</v>
          </cell>
          <cell r="B360">
            <v>5217.5999999999995</v>
          </cell>
        </row>
        <row r="361">
          <cell r="A361" t="str">
            <v>DALCYSDD</v>
          </cell>
          <cell r="B361">
            <v>12164.74</v>
          </cell>
        </row>
        <row r="362">
          <cell r="A362" t="str">
            <v>DKIMNTDD</v>
          </cell>
          <cell r="B362">
            <v>3355.2</v>
          </cell>
        </row>
        <row r="363">
          <cell r="A363" t="str">
            <v>DRRIATDD</v>
          </cell>
          <cell r="B363">
            <v>696.93</v>
          </cell>
        </row>
        <row r="364">
          <cell r="A364" t="str">
            <v>EASREDDD</v>
          </cell>
          <cell r="B364">
            <v>4103.5999999999995</v>
          </cell>
        </row>
        <row r="365">
          <cell r="A365" t="str">
            <v>EMEEMWDD</v>
          </cell>
          <cell r="B365">
            <v>1612.31</v>
          </cell>
        </row>
        <row r="366">
          <cell r="A366" t="str">
            <v>FHLCHDDD</v>
          </cell>
          <cell r="B366">
            <v>25114.800000000003</v>
          </cell>
          <cell r="C366">
            <v>75</v>
          </cell>
        </row>
        <row r="367">
          <cell r="A367" t="str">
            <v>FORNWTDD</v>
          </cell>
          <cell r="B367">
            <v>4294.57</v>
          </cell>
        </row>
        <row r="368">
          <cell r="A368" t="str">
            <v>GBEULTDD</v>
          </cell>
          <cell r="B368">
            <v>8448.7800000000007</v>
          </cell>
        </row>
        <row r="369">
          <cell r="A369" t="str">
            <v>HOMBUTDD</v>
          </cell>
          <cell r="B369">
            <v>1503.63</v>
          </cell>
        </row>
        <row r="370">
          <cell r="A370" t="str">
            <v>IALGDTDD</v>
          </cell>
          <cell r="B370">
            <v>958.63</v>
          </cell>
        </row>
        <row r="371">
          <cell r="A371" t="str">
            <v>KMSFRWDD</v>
          </cell>
          <cell r="B371">
            <v>1511.58</v>
          </cell>
        </row>
        <row r="372">
          <cell r="A372" t="str">
            <v>LIDHOTDD</v>
          </cell>
          <cell r="B372">
            <v>11969.23</v>
          </cell>
        </row>
        <row r="373">
          <cell r="A373" t="str">
            <v>MACMKWDD</v>
          </cell>
          <cell r="B373">
            <v>5036.78</v>
          </cell>
        </row>
        <row r="374">
          <cell r="A374" t="str">
            <v>MKYBAWDD</v>
          </cell>
          <cell r="B374">
            <v>30050.02</v>
          </cell>
        </row>
        <row r="375">
          <cell r="A375" t="str">
            <v>MKYMKWDD</v>
          </cell>
          <cell r="B375">
            <v>13292.789999999999</v>
          </cell>
        </row>
        <row r="376">
          <cell r="A376" t="str">
            <v>MNKQBTDD</v>
          </cell>
          <cell r="B376">
            <v>156.19</v>
          </cell>
        </row>
        <row r="377">
          <cell r="A377" t="str">
            <v>PMFERWDD</v>
          </cell>
          <cell r="B377">
            <v>3408.5699999999997</v>
          </cell>
        </row>
        <row r="378">
          <cell r="A378" t="str">
            <v>PPNPRWDD</v>
          </cell>
          <cell r="B378">
            <v>6808.8200000000006</v>
          </cell>
        </row>
        <row r="379">
          <cell r="A379" t="str">
            <v>PTHROTDD</v>
          </cell>
          <cell r="B379">
            <v>5371.8</v>
          </cell>
        </row>
        <row r="380">
          <cell r="A380" t="str">
            <v>QBNMNTDD</v>
          </cell>
          <cell r="B380">
            <v>2261.6400000000003</v>
          </cell>
          <cell r="C380">
            <v>300.11</v>
          </cell>
        </row>
        <row r="381">
          <cell r="A381" t="str">
            <v>REDGBEDD</v>
          </cell>
          <cell r="B381">
            <v>2102.56</v>
          </cell>
        </row>
        <row r="382">
          <cell r="A382" t="str">
            <v>SARALWDD</v>
          </cell>
          <cell r="B382">
            <v>6667.77</v>
          </cell>
        </row>
        <row r="383">
          <cell r="A383" t="str">
            <v>SCOSCWDD</v>
          </cell>
          <cell r="B383">
            <v>835.68</v>
          </cell>
        </row>
        <row r="384">
          <cell r="A384" t="str">
            <v>SILLITDD</v>
          </cell>
          <cell r="B384">
            <v>226.03</v>
          </cell>
        </row>
        <row r="385">
          <cell r="A385" t="str">
            <v>SP100001</v>
          </cell>
          <cell r="C385">
            <v>455.50999999999993</v>
          </cell>
        </row>
        <row r="386">
          <cell r="A386" t="str">
            <v>SSBAARDD</v>
          </cell>
          <cell r="B386">
            <v>10968.4</v>
          </cell>
        </row>
        <row r="387">
          <cell r="A387" t="str">
            <v>TAMW06DD</v>
          </cell>
          <cell r="B387">
            <v>8429.7999999999993</v>
          </cell>
        </row>
        <row r="388">
          <cell r="A388" t="str">
            <v>TAMW16DD</v>
          </cell>
          <cell r="B388">
            <v>4708.4799999999996</v>
          </cell>
        </row>
        <row r="389">
          <cell r="A389" t="str">
            <v>TAMW23DD</v>
          </cell>
          <cell r="B389">
            <v>7982.3399999999983</v>
          </cell>
        </row>
        <row r="390">
          <cell r="A390" t="str">
            <v>TETINWDD</v>
          </cell>
          <cell r="B390">
            <v>10218.249999999998</v>
          </cell>
        </row>
        <row r="391">
          <cell r="A391" t="str">
            <v>ULTDALDD</v>
          </cell>
          <cell r="B391">
            <v>5596.07</v>
          </cell>
        </row>
        <row r="392">
          <cell r="A392" t="str">
            <v>URLURWDD</v>
          </cell>
          <cell r="B392">
            <v>2103.9699999999998</v>
          </cell>
        </row>
        <row r="393">
          <cell r="A393" t="str">
            <v>WRWWAWDD</v>
          </cell>
          <cell r="B393">
            <v>2789.39</v>
          </cell>
        </row>
      </sheetData>
      <sheetData sheetId="16">
        <row r="1">
          <cell r="A1" t="str">
            <v>Diary Date</v>
          </cell>
          <cell r="B1" t="str">
            <v>(Multiple Items)</v>
          </cell>
        </row>
        <row r="3">
          <cell r="A3" t="str">
            <v>Sum of Extended DJC</v>
          </cell>
          <cell r="B3" t="str">
            <v>Column Labels</v>
          </cell>
        </row>
        <row r="4">
          <cell r="A4" t="str">
            <v>Row Labels</v>
          </cell>
          <cell r="B4" t="str">
            <v>Provisional Sum</v>
          </cell>
          <cell r="C4" t="str">
            <v>Quoted DJC</v>
          </cell>
          <cell r="D4" t="str">
            <v>Standard DJC</v>
          </cell>
          <cell r="E4" t="str">
            <v>Grand Total</v>
          </cell>
        </row>
        <row r="5">
          <cell r="A5" t="str">
            <v>GUL3</v>
          </cell>
          <cell r="D5">
            <v>557379.15399999986</v>
          </cell>
          <cell r="E5">
            <v>557379.15399999986</v>
          </cell>
        </row>
        <row r="6">
          <cell r="A6" t="str">
            <v>GUL2</v>
          </cell>
          <cell r="D6">
            <v>653934.73949999968</v>
          </cell>
          <cell r="E6">
            <v>653934.73949999968</v>
          </cell>
        </row>
        <row r="7">
          <cell r="A7" t="str">
            <v>TNS4</v>
          </cell>
          <cell r="D7">
            <v>1478.85</v>
          </cell>
          <cell r="E7">
            <v>1478.85</v>
          </cell>
        </row>
        <row r="8">
          <cell r="A8" t="str">
            <v>GDN2</v>
          </cell>
          <cell r="B8">
            <v>0</v>
          </cell>
          <cell r="D8">
            <v>831600.12660000031</v>
          </cell>
          <cell r="E8">
            <v>831600.12660000031</v>
          </cell>
        </row>
        <row r="9">
          <cell r="A9" t="str">
            <v>CAI1</v>
          </cell>
          <cell r="D9">
            <v>262423.42650000035</v>
          </cell>
          <cell r="E9">
            <v>262423.42650000035</v>
          </cell>
        </row>
        <row r="10">
          <cell r="A10" t="str">
            <v>CAI2</v>
          </cell>
          <cell r="D10">
            <v>6356.9960000000001</v>
          </cell>
          <cell r="E10">
            <v>6356.9960000000001</v>
          </cell>
        </row>
        <row r="11">
          <cell r="A11" t="str">
            <v>CAI3</v>
          </cell>
          <cell r="D11">
            <v>7915.143</v>
          </cell>
          <cell r="E11">
            <v>7915.143</v>
          </cell>
        </row>
        <row r="12">
          <cell r="A12" t="str">
            <v>APL1</v>
          </cell>
          <cell r="D12">
            <v>1384499.2647999998</v>
          </cell>
          <cell r="E12">
            <v>1384499.2647999998</v>
          </cell>
        </row>
        <row r="13">
          <cell r="A13" t="str">
            <v>APL3</v>
          </cell>
          <cell r="B13">
            <v>0</v>
          </cell>
          <cell r="D13">
            <v>107777.57800000001</v>
          </cell>
          <cell r="E13">
            <v>107777.57800000001</v>
          </cell>
        </row>
        <row r="14">
          <cell r="A14" t="str">
            <v>TOB1</v>
          </cell>
          <cell r="B14">
            <v>0</v>
          </cell>
          <cell r="C14">
            <v>0</v>
          </cell>
          <cell r="D14">
            <v>726563.89749999763</v>
          </cell>
          <cell r="E14">
            <v>726563.89749999763</v>
          </cell>
        </row>
        <row r="15">
          <cell r="A15" t="str">
            <v>TOB2</v>
          </cell>
          <cell r="D15">
            <v>318377.0039999999</v>
          </cell>
          <cell r="E15">
            <v>318377.0039999999</v>
          </cell>
        </row>
        <row r="16">
          <cell r="A16" t="str">
            <v>TOB4</v>
          </cell>
          <cell r="D16">
            <v>263831.93469999993</v>
          </cell>
          <cell r="E16">
            <v>263831.93469999993</v>
          </cell>
        </row>
        <row r="17">
          <cell r="A17" t="str">
            <v>GDN1</v>
          </cell>
          <cell r="D17">
            <v>593554.57199999865</v>
          </cell>
          <cell r="E17">
            <v>593554.57199999865</v>
          </cell>
        </row>
        <row r="18">
          <cell r="A18" t="str">
            <v>NDG2</v>
          </cell>
          <cell r="D18">
            <v>513474.37500000006</v>
          </cell>
          <cell r="E18">
            <v>513474.37500000006</v>
          </cell>
        </row>
        <row r="19">
          <cell r="A19" t="str">
            <v>TNS2</v>
          </cell>
          <cell r="D19">
            <v>136414.84199999998</v>
          </cell>
          <cell r="E19">
            <v>136414.84199999998</v>
          </cell>
        </row>
        <row r="20">
          <cell r="A20" t="str">
            <v>GUL4</v>
          </cell>
          <cell r="D20">
            <v>742517.05599999975</v>
          </cell>
          <cell r="E20">
            <v>742517.05599999975</v>
          </cell>
        </row>
        <row r="21">
          <cell r="A21" t="str">
            <v>TNS1</v>
          </cell>
          <cell r="D21">
            <v>827442.98199999996</v>
          </cell>
          <cell r="E21">
            <v>827442.98199999996</v>
          </cell>
        </row>
        <row r="22">
          <cell r="A22" t="str">
            <v>NDG1</v>
          </cell>
          <cell r="D22">
            <v>4390.6000000000004</v>
          </cell>
          <cell r="E22">
            <v>4390.6000000000004</v>
          </cell>
        </row>
        <row r="23">
          <cell r="A23" t="str">
            <v>TOB7</v>
          </cell>
          <cell r="D23">
            <v>44298.994999999995</v>
          </cell>
          <cell r="E23">
            <v>44298.994999999995</v>
          </cell>
        </row>
        <row r="24">
          <cell r="A24" t="str">
            <v>IPS2</v>
          </cell>
          <cell r="D24">
            <v>50109.895999999993</v>
          </cell>
          <cell r="E24">
            <v>50109.895999999993</v>
          </cell>
        </row>
        <row r="25">
          <cell r="A25" t="str">
            <v>IPS4</v>
          </cell>
          <cell r="D25">
            <v>71671.612000000008</v>
          </cell>
          <cell r="E25">
            <v>71671.612000000008</v>
          </cell>
        </row>
        <row r="26">
          <cell r="A26" t="str">
            <v>TOB8</v>
          </cell>
          <cell r="D26">
            <v>27305.402000000002</v>
          </cell>
          <cell r="E26">
            <v>27305.402000000002</v>
          </cell>
        </row>
        <row r="27">
          <cell r="A27" t="str">
            <v>TNS3</v>
          </cell>
          <cell r="D27">
            <v>141139.42000000001</v>
          </cell>
          <cell r="E27">
            <v>141139.42000000001</v>
          </cell>
        </row>
        <row r="28">
          <cell r="A28" t="str">
            <v>CRC5</v>
          </cell>
          <cell r="D28">
            <v>761067.6680000003</v>
          </cell>
          <cell r="E28">
            <v>761067.6680000003</v>
          </cell>
        </row>
        <row r="29">
          <cell r="A29" t="str">
            <v>PTH1</v>
          </cell>
          <cell r="D29">
            <v>233151.60599999994</v>
          </cell>
          <cell r="E29">
            <v>233151.60599999994</v>
          </cell>
        </row>
        <row r="30">
          <cell r="A30" t="str">
            <v>KIA3</v>
          </cell>
          <cell r="D30">
            <v>942145.67599999974</v>
          </cell>
          <cell r="E30">
            <v>942145.67599999974</v>
          </cell>
        </row>
        <row r="31">
          <cell r="A31" t="str">
            <v>CFS1</v>
          </cell>
          <cell r="B31">
            <v>0</v>
          </cell>
          <cell r="D31">
            <v>1484442.2482999961</v>
          </cell>
          <cell r="E31">
            <v>1484442.2482999961</v>
          </cell>
        </row>
        <row r="32">
          <cell r="A32" t="str">
            <v>CFS5</v>
          </cell>
          <cell r="B32">
            <v>0</v>
          </cell>
          <cell r="D32">
            <v>843799.64600000181</v>
          </cell>
          <cell r="E32">
            <v>843799.64600000181</v>
          </cell>
        </row>
        <row r="33">
          <cell r="A33" t="str">
            <v>BLK1</v>
          </cell>
          <cell r="D33">
            <v>321780.30600000039</v>
          </cell>
          <cell r="E33">
            <v>321780.30600000039</v>
          </cell>
        </row>
        <row r="34">
          <cell r="A34" t="str">
            <v>SAW2</v>
          </cell>
          <cell r="D34">
            <v>56675.64</v>
          </cell>
          <cell r="E34">
            <v>56675.64</v>
          </cell>
        </row>
        <row r="35">
          <cell r="A35" t="str">
            <v>HOM1</v>
          </cell>
          <cell r="B35">
            <v>0</v>
          </cell>
          <cell r="D35">
            <v>371550.81740000064</v>
          </cell>
          <cell r="E35">
            <v>371550.81740000064</v>
          </cell>
        </row>
        <row r="36">
          <cell r="A36" t="str">
            <v>KIA2</v>
          </cell>
          <cell r="D36">
            <v>31590.166000000001</v>
          </cell>
          <cell r="E36">
            <v>31590.166000000001</v>
          </cell>
        </row>
        <row r="37">
          <cell r="A37" t="str">
            <v>GOS2</v>
          </cell>
          <cell r="C37">
            <v>0</v>
          </cell>
          <cell r="D37">
            <v>883969.61899999948</v>
          </cell>
          <cell r="E37">
            <v>883969.61899999948</v>
          </cell>
        </row>
        <row r="38">
          <cell r="A38" t="str">
            <v>SAW1</v>
          </cell>
          <cell r="D38">
            <v>1302068.2289999942</v>
          </cell>
          <cell r="E38">
            <v>1302068.2289999942</v>
          </cell>
        </row>
        <row r="39">
          <cell r="A39" t="str">
            <v>CFS2</v>
          </cell>
          <cell r="D39">
            <v>844678.74540000258</v>
          </cell>
          <cell r="E39">
            <v>844678.74540000258</v>
          </cell>
        </row>
        <row r="40">
          <cell r="A40" t="str">
            <v>GOS1</v>
          </cell>
          <cell r="D40">
            <v>370605.94500000024</v>
          </cell>
          <cell r="E40">
            <v>370605.94500000024</v>
          </cell>
        </row>
        <row r="41">
          <cell r="A41" t="str">
            <v>GOS3</v>
          </cell>
          <cell r="D41">
            <v>192052.41000000003</v>
          </cell>
          <cell r="E41">
            <v>192052.41000000003</v>
          </cell>
        </row>
        <row r="42">
          <cell r="A42" t="str">
            <v>CFS6</v>
          </cell>
          <cell r="D42">
            <v>109583.45600000001</v>
          </cell>
          <cell r="E42">
            <v>109583.45600000001</v>
          </cell>
        </row>
        <row r="43">
          <cell r="A43" t="str">
            <v>CFS7</v>
          </cell>
          <cell r="D43">
            <v>52384.224000000002</v>
          </cell>
          <cell r="E43">
            <v>52384.224000000002</v>
          </cell>
        </row>
        <row r="44">
          <cell r="A44" t="str">
            <v>CFS3</v>
          </cell>
          <cell r="D44">
            <v>312197.28799999988</v>
          </cell>
          <cell r="E44">
            <v>312197.28799999988</v>
          </cell>
        </row>
        <row r="45">
          <cell r="A45" t="str">
            <v>RCH4</v>
          </cell>
          <cell r="D45">
            <v>81841.420000000013</v>
          </cell>
          <cell r="E45">
            <v>81841.420000000013</v>
          </cell>
        </row>
        <row r="46">
          <cell r="A46" t="str">
            <v>BLK2</v>
          </cell>
          <cell r="D46">
            <v>12641.03</v>
          </cell>
          <cell r="E46">
            <v>12641.03</v>
          </cell>
        </row>
        <row r="47">
          <cell r="A47" t="str">
            <v>CRC2</v>
          </cell>
          <cell r="D47">
            <v>150371.80199999991</v>
          </cell>
          <cell r="E47">
            <v>150371.80199999991</v>
          </cell>
        </row>
        <row r="48">
          <cell r="A48" t="str">
            <v>CRC4</v>
          </cell>
          <cell r="D48">
            <v>103874.97200000001</v>
          </cell>
          <cell r="E48">
            <v>103874.97200000001</v>
          </cell>
        </row>
        <row r="49">
          <cell r="A49" t="str">
            <v>CRC6</v>
          </cell>
          <cell r="D49">
            <v>1507.44</v>
          </cell>
          <cell r="E49">
            <v>1507.44</v>
          </cell>
        </row>
        <row r="50">
          <cell r="A50" t="str">
            <v>CRC1</v>
          </cell>
          <cell r="D50">
            <v>321554.12600000034</v>
          </cell>
          <cell r="E50">
            <v>321554.12600000034</v>
          </cell>
        </row>
        <row r="51">
          <cell r="A51" t="str">
            <v>KLG4</v>
          </cell>
          <cell r="D51">
            <v>54091.493999999984</v>
          </cell>
          <cell r="E51">
            <v>54091.493999999984</v>
          </cell>
        </row>
        <row r="52">
          <cell r="A52" t="str">
            <v>TOB6</v>
          </cell>
          <cell r="D52">
            <v>19341.388000000003</v>
          </cell>
          <cell r="E52">
            <v>19341.388000000003</v>
          </cell>
        </row>
        <row r="53">
          <cell r="A53" t="str">
            <v>KLG1</v>
          </cell>
          <cell r="D53">
            <v>30003.279999999999</v>
          </cell>
          <cell r="E53">
            <v>30003.279999999999</v>
          </cell>
        </row>
        <row r="54">
          <cell r="A54" t="str">
            <v>BDB1</v>
          </cell>
          <cell r="D54">
            <v>84014.210000000036</v>
          </cell>
          <cell r="E54">
            <v>84014.210000000036</v>
          </cell>
        </row>
        <row r="55">
          <cell r="A55" t="str">
            <v>BDB2</v>
          </cell>
          <cell r="D55">
            <v>65514.89499999999</v>
          </cell>
          <cell r="E55">
            <v>65514.89499999999</v>
          </cell>
        </row>
        <row r="56">
          <cell r="A56" t="str">
            <v>GDN5</v>
          </cell>
          <cell r="D56">
            <v>2797.13</v>
          </cell>
          <cell r="E56">
            <v>2797.13</v>
          </cell>
        </row>
        <row r="57">
          <cell r="A57" t="str">
            <v>GDN6</v>
          </cell>
          <cell r="D57">
            <v>3441.53</v>
          </cell>
          <cell r="E57">
            <v>3441.53</v>
          </cell>
        </row>
        <row r="58">
          <cell r="A58" t="str">
            <v>NDG3</v>
          </cell>
          <cell r="D58">
            <v>1985.5450000000001</v>
          </cell>
          <cell r="E58">
            <v>1985.5450000000001</v>
          </cell>
        </row>
        <row r="59">
          <cell r="A59" t="str">
            <v>MKY3</v>
          </cell>
          <cell r="D59">
            <v>2051.9460000000004</v>
          </cell>
          <cell r="E59">
            <v>2051.9460000000004</v>
          </cell>
        </row>
        <row r="60">
          <cell r="A60" t="str">
            <v>APL4</v>
          </cell>
          <cell r="B60">
            <v>0</v>
          </cell>
          <cell r="D60">
            <v>263595.71999999986</v>
          </cell>
          <cell r="E60">
            <v>263595.71999999986</v>
          </cell>
        </row>
        <row r="61">
          <cell r="A61" t="str">
            <v>TOB3</v>
          </cell>
          <cell r="D61">
            <v>519337.38715000026</v>
          </cell>
          <cell r="E61">
            <v>519337.38715000026</v>
          </cell>
        </row>
        <row r="62">
          <cell r="A62" t="str">
            <v>TNS5</v>
          </cell>
          <cell r="D62">
            <v>118454.31000000001</v>
          </cell>
          <cell r="E62">
            <v>118454.31000000001</v>
          </cell>
        </row>
        <row r="63">
          <cell r="A63" t="str">
            <v>GUL5</v>
          </cell>
          <cell r="D63">
            <v>299273.38999999996</v>
          </cell>
          <cell r="E63">
            <v>299273.38999999996</v>
          </cell>
        </row>
        <row r="64">
          <cell r="A64" t="str">
            <v>CRC3</v>
          </cell>
          <cell r="D64">
            <v>161.80000000000001</v>
          </cell>
          <cell r="E64">
            <v>161.80000000000001</v>
          </cell>
        </row>
        <row r="65">
          <cell r="A65" t="str">
            <v>APL2</v>
          </cell>
          <cell r="B65">
            <v>0</v>
          </cell>
          <cell r="D65">
            <v>32630.496000000003</v>
          </cell>
          <cell r="E65">
            <v>32630.496000000003</v>
          </cell>
        </row>
        <row r="66">
          <cell r="A66" t="str">
            <v>DAP1</v>
          </cell>
          <cell r="D66">
            <v>832.03199999999993</v>
          </cell>
          <cell r="E66">
            <v>832.03199999999993</v>
          </cell>
        </row>
        <row r="67">
          <cell r="A67" t="str">
            <v>LID1</v>
          </cell>
          <cell r="D67">
            <v>20899.88</v>
          </cell>
          <cell r="E67">
            <v>20899.88</v>
          </cell>
        </row>
        <row r="68">
          <cell r="A68" t="str">
            <v>HOM2</v>
          </cell>
          <cell r="D68">
            <v>13334.183399999998</v>
          </cell>
          <cell r="E68">
            <v>13334.183399999998</v>
          </cell>
        </row>
        <row r="69">
          <cell r="A69" t="str">
            <v>TOB5</v>
          </cell>
          <cell r="D69">
            <v>40441.394999999997</v>
          </cell>
          <cell r="E69">
            <v>40441.394999999997</v>
          </cell>
        </row>
        <row r="70">
          <cell r="A70" t="str">
            <v>PTH2</v>
          </cell>
          <cell r="D70">
            <v>22518.74</v>
          </cell>
          <cell r="E70">
            <v>22518.74</v>
          </cell>
        </row>
        <row r="71">
          <cell r="A71" t="str">
            <v>SAW3</v>
          </cell>
          <cell r="D71">
            <v>167694.451</v>
          </cell>
          <cell r="E71">
            <v>167694.451</v>
          </cell>
        </row>
        <row r="72">
          <cell r="A72" t="str">
            <v>SAW4</v>
          </cell>
          <cell r="D72">
            <v>6886</v>
          </cell>
          <cell r="E72">
            <v>6886</v>
          </cell>
        </row>
        <row r="73">
          <cell r="A73" t="str">
            <v>RCH2</v>
          </cell>
          <cell r="D73">
            <v>108281.53599999998</v>
          </cell>
          <cell r="E73">
            <v>108281.53599999998</v>
          </cell>
        </row>
        <row r="74">
          <cell r="A74" t="str">
            <v>RCH1</v>
          </cell>
          <cell r="D74">
            <v>8363.66</v>
          </cell>
          <cell r="E74">
            <v>8363.66</v>
          </cell>
        </row>
        <row r="75">
          <cell r="A75" t="str">
            <v>LID2</v>
          </cell>
          <cell r="D75">
            <v>14600.896000000004</v>
          </cell>
          <cell r="E75">
            <v>14600.896000000004</v>
          </cell>
        </row>
        <row r="76">
          <cell r="A76" t="str">
            <v>GDN3</v>
          </cell>
          <cell r="B76">
            <v>0</v>
          </cell>
          <cell r="D76">
            <v>115493.622</v>
          </cell>
          <cell r="E76">
            <v>115493.622</v>
          </cell>
        </row>
        <row r="77">
          <cell r="A77" t="str">
            <v>GDN4</v>
          </cell>
          <cell r="D77">
            <v>18741.39</v>
          </cell>
          <cell r="E77">
            <v>18741.39</v>
          </cell>
        </row>
        <row r="78">
          <cell r="A78" t="str">
            <v>RIV2</v>
          </cell>
          <cell r="D78">
            <v>1027.2139999999999</v>
          </cell>
          <cell r="E78">
            <v>1027.2139999999999</v>
          </cell>
        </row>
        <row r="79">
          <cell r="A79" t="str">
            <v>ARM5</v>
          </cell>
          <cell r="B79">
            <v>0</v>
          </cell>
          <cell r="D79">
            <v>2376959.3774000001</v>
          </cell>
          <cell r="E79">
            <v>2376959.3774000001</v>
          </cell>
        </row>
        <row r="80">
          <cell r="A80" t="str">
            <v>ARM4</v>
          </cell>
          <cell r="D80">
            <v>1070523.415</v>
          </cell>
          <cell r="E80">
            <v>1070523.415</v>
          </cell>
        </row>
        <row r="81">
          <cell r="A81" t="str">
            <v>CAI4</v>
          </cell>
          <cell r="D81">
            <v>23057.619999999995</v>
          </cell>
          <cell r="E81">
            <v>23057.619999999995</v>
          </cell>
        </row>
        <row r="82">
          <cell r="A82" t="str">
            <v>APL7</v>
          </cell>
          <cell r="D82">
            <v>5435.6200000000008</v>
          </cell>
          <cell r="E82">
            <v>5435.6200000000008</v>
          </cell>
        </row>
        <row r="83">
          <cell r="A83" t="str">
            <v>APL6</v>
          </cell>
          <cell r="D83">
            <v>66347.83</v>
          </cell>
          <cell r="E83">
            <v>66347.83</v>
          </cell>
        </row>
        <row r="84">
          <cell r="A84" t="str">
            <v>GDN8</v>
          </cell>
          <cell r="D84">
            <v>85231.035000000003</v>
          </cell>
          <cell r="E84">
            <v>85231.035000000003</v>
          </cell>
        </row>
        <row r="85">
          <cell r="A85" t="str">
            <v>TOB9</v>
          </cell>
          <cell r="D85">
            <v>65589.01400000001</v>
          </cell>
          <cell r="E85">
            <v>65589.01400000001</v>
          </cell>
        </row>
        <row r="86">
          <cell r="A86" t="str">
            <v>ARM6</v>
          </cell>
          <cell r="D86">
            <v>603663.60339999874</v>
          </cell>
          <cell r="E86">
            <v>603663.60339999874</v>
          </cell>
        </row>
        <row r="87">
          <cell r="A87" t="str">
            <v>WLG5</v>
          </cell>
          <cell r="D87">
            <v>247133.82300000009</v>
          </cell>
          <cell r="E87">
            <v>247133.82300000009</v>
          </cell>
        </row>
        <row r="88">
          <cell r="A88" t="str">
            <v>WLG6</v>
          </cell>
          <cell r="D88">
            <v>28745.621999999999</v>
          </cell>
          <cell r="E88">
            <v>28745.621999999999</v>
          </cell>
        </row>
        <row r="89">
          <cell r="A89" t="str">
            <v>WLG1</v>
          </cell>
          <cell r="D89">
            <v>7831.3919999999998</v>
          </cell>
          <cell r="E89">
            <v>7831.3919999999998</v>
          </cell>
        </row>
        <row r="90">
          <cell r="A90" t="str">
            <v>COR4</v>
          </cell>
          <cell r="D90">
            <v>43940.975999999973</v>
          </cell>
          <cell r="E90">
            <v>43940.975999999973</v>
          </cell>
        </row>
        <row r="91">
          <cell r="A91" t="str">
            <v>ASH1</v>
          </cell>
          <cell r="D91">
            <v>57372.675000000003</v>
          </cell>
          <cell r="E91">
            <v>57372.675000000003</v>
          </cell>
        </row>
        <row r="92">
          <cell r="A92" t="str">
            <v>ASH4</v>
          </cell>
          <cell r="D92">
            <v>843.03</v>
          </cell>
          <cell r="E92">
            <v>843.03</v>
          </cell>
        </row>
        <row r="93">
          <cell r="A93" t="str">
            <v>MKY4</v>
          </cell>
          <cell r="D93">
            <v>67673.082000000009</v>
          </cell>
          <cell r="E93">
            <v>67673.082000000009</v>
          </cell>
        </row>
        <row r="94">
          <cell r="A94" t="str">
            <v>GDN7</v>
          </cell>
          <cell r="D94">
            <v>15062.614999999998</v>
          </cell>
          <cell r="E94">
            <v>15062.614999999998</v>
          </cell>
        </row>
        <row r="95">
          <cell r="A95" t="str">
            <v>ASH3</v>
          </cell>
          <cell r="D95">
            <v>49974.22</v>
          </cell>
          <cell r="E95">
            <v>49974.22</v>
          </cell>
        </row>
        <row r="96">
          <cell r="A96" t="str">
            <v>ASH2</v>
          </cell>
          <cell r="D96">
            <v>21018.14</v>
          </cell>
          <cell r="E96">
            <v>21018.14</v>
          </cell>
        </row>
        <row r="97">
          <cell r="A97" t="str">
            <v>APL5</v>
          </cell>
          <cell r="D97">
            <v>71471.775000000009</v>
          </cell>
          <cell r="E97">
            <v>71471.775000000009</v>
          </cell>
        </row>
        <row r="98">
          <cell r="A98" t="str">
            <v>COR1</v>
          </cell>
          <cell r="D98">
            <v>14561.096</v>
          </cell>
          <cell r="E98">
            <v>14561.096</v>
          </cell>
        </row>
        <row r="99">
          <cell r="A99" t="str">
            <v>DAP5</v>
          </cell>
          <cell r="D99">
            <v>73462.77</v>
          </cell>
          <cell r="E99">
            <v>73462.77</v>
          </cell>
        </row>
        <row r="100">
          <cell r="A100" t="str">
            <v>COR7</v>
          </cell>
          <cell r="D100">
            <v>16467.559999999998</v>
          </cell>
          <cell r="E100">
            <v>16467.559999999998</v>
          </cell>
        </row>
        <row r="101">
          <cell r="A101" t="str">
            <v>COR6</v>
          </cell>
          <cell r="D101">
            <v>318029.55200000003</v>
          </cell>
          <cell r="E101">
            <v>318029.55200000003</v>
          </cell>
        </row>
        <row r="102">
          <cell r="A102" t="str">
            <v>DAP6</v>
          </cell>
          <cell r="D102">
            <v>4185.7919999999995</v>
          </cell>
          <cell r="E102">
            <v>4185.7919999999995</v>
          </cell>
        </row>
        <row r="103">
          <cell r="A103" t="str">
            <v>LJT1</v>
          </cell>
          <cell r="D103">
            <v>75626.86</v>
          </cell>
          <cell r="E103">
            <v>75626.86</v>
          </cell>
        </row>
        <row r="104">
          <cell r="A104" t="str">
            <v>APL8</v>
          </cell>
          <cell r="D104">
            <v>1178.3999999999999</v>
          </cell>
          <cell r="E104">
            <v>1178.3999999999999</v>
          </cell>
        </row>
        <row r="105">
          <cell r="A105" t="str">
            <v>BLK6</v>
          </cell>
          <cell r="D105">
            <v>257.38</v>
          </cell>
          <cell r="E105">
            <v>257.38</v>
          </cell>
        </row>
        <row r="106">
          <cell r="A106" t="str">
            <v>GUL7</v>
          </cell>
          <cell r="D106">
            <v>17388.984</v>
          </cell>
          <cell r="E106">
            <v>17388.984</v>
          </cell>
        </row>
        <row r="107">
          <cell r="A107" t="str">
            <v>WLG8</v>
          </cell>
          <cell r="D107">
            <v>8167.9679999999998</v>
          </cell>
          <cell r="E107">
            <v>8167.9679999999998</v>
          </cell>
        </row>
        <row r="108">
          <cell r="A108" t="str">
            <v>CVI5</v>
          </cell>
          <cell r="D108">
            <v>12751.055999999999</v>
          </cell>
          <cell r="E108">
            <v>12751.055999999999</v>
          </cell>
        </row>
        <row r="109">
          <cell r="A109" t="str">
            <v>CVI4</v>
          </cell>
          <cell r="D109">
            <v>17456.383999999995</v>
          </cell>
          <cell r="E109">
            <v>17456.383999999995</v>
          </cell>
        </row>
        <row r="110">
          <cell r="A110" t="str">
            <v>COR8</v>
          </cell>
          <cell r="D110">
            <v>62091.782000000028</v>
          </cell>
          <cell r="E110">
            <v>62091.782000000028</v>
          </cell>
        </row>
        <row r="111">
          <cell r="A111" t="str">
            <v>COR5</v>
          </cell>
          <cell r="D111">
            <v>56224.684000000023</v>
          </cell>
          <cell r="E111">
            <v>56224.684000000023</v>
          </cell>
        </row>
        <row r="112">
          <cell r="A112" t="str">
            <v>BLK10</v>
          </cell>
          <cell r="D112">
            <v>2180.37</v>
          </cell>
          <cell r="E112">
            <v>2180.37</v>
          </cell>
        </row>
        <row r="113">
          <cell r="A113" t="str">
            <v>BLK9</v>
          </cell>
          <cell r="D113">
            <v>261.22000000000003</v>
          </cell>
          <cell r="E113">
            <v>261.22000000000003</v>
          </cell>
        </row>
        <row r="114">
          <cell r="A114" t="str">
            <v>TNS6</v>
          </cell>
          <cell r="D114">
            <v>1839.12</v>
          </cell>
          <cell r="E114">
            <v>1839.12</v>
          </cell>
        </row>
        <row r="115">
          <cell r="A115" t="str">
            <v>ROT2</v>
          </cell>
          <cell r="D115">
            <v>69605.733000000007</v>
          </cell>
          <cell r="E115">
            <v>69605.733000000007</v>
          </cell>
        </row>
        <row r="116">
          <cell r="A116" t="str">
            <v>MKY1</v>
          </cell>
          <cell r="D116">
            <v>7139.0599999999995</v>
          </cell>
          <cell r="E116">
            <v>7139.0599999999995</v>
          </cell>
        </row>
        <row r="117">
          <cell r="A117" t="str">
            <v>BLK12</v>
          </cell>
          <cell r="D117">
            <v>257.38</v>
          </cell>
          <cell r="E117">
            <v>257.38</v>
          </cell>
        </row>
        <row r="118">
          <cell r="A118" t="str">
            <v>GUL6</v>
          </cell>
          <cell r="D118">
            <v>55249.329999999994</v>
          </cell>
          <cell r="E118">
            <v>55249.329999999994</v>
          </cell>
        </row>
        <row r="119">
          <cell r="A119" t="str">
            <v>CFS4</v>
          </cell>
          <cell r="D119">
            <v>2586.44</v>
          </cell>
          <cell r="E119">
            <v>2586.44</v>
          </cell>
        </row>
        <row r="120">
          <cell r="A120" t="str">
            <v>ROT1</v>
          </cell>
          <cell r="D120">
            <v>25186.031999999999</v>
          </cell>
          <cell r="E120">
            <v>25186.031999999999</v>
          </cell>
        </row>
      </sheetData>
      <sheetData sheetId="17">
        <row r="3">
          <cell r="B3" t="str">
            <v>JDE FSAM Subledger</v>
          </cell>
          <cell r="C3" t="str">
            <v>Project Type</v>
          </cell>
          <cell r="D3" t="str">
            <v>State</v>
          </cell>
          <cell r="E3" t="str">
            <v>Subregion</v>
          </cell>
          <cell r="F3" t="str">
            <v>Project Manager</v>
          </cell>
          <cell r="G3" t="str">
            <v>Design EV</v>
          </cell>
          <cell r="H3" t="str">
            <v>Construction EV</v>
          </cell>
          <cell r="I3" t="str">
            <v>Overall EV</v>
          </cell>
          <cell r="J3" t="str">
            <v>Design Status Comment</v>
          </cell>
          <cell r="K3" t="str">
            <v>Construction Status Comment</v>
          </cell>
        </row>
        <row r="4">
          <cell r="B4" t="str">
            <v>TOB1</v>
          </cell>
          <cell r="C4" t="str">
            <v>FSAM</v>
          </cell>
          <cell r="D4" t="str">
            <v>QLD</v>
          </cell>
          <cell r="E4" t="str">
            <v>QLD South</v>
          </cell>
          <cell r="F4" t="str">
            <v>Alan Bassett</v>
          </cell>
          <cell r="G4">
            <v>1</v>
          </cell>
          <cell r="H4">
            <v>1</v>
          </cell>
          <cell r="I4">
            <v>1</v>
          </cell>
          <cell r="J4" t="str">
            <v>CoA Accepted</v>
          </cell>
          <cell r="K4" t="str">
            <v>FA Received</v>
          </cell>
        </row>
        <row r="5">
          <cell r="B5" t="str">
            <v>APL1</v>
          </cell>
          <cell r="C5" t="str">
            <v>FSAM</v>
          </cell>
          <cell r="D5" t="str">
            <v>QLD</v>
          </cell>
          <cell r="E5" t="str">
            <v>QLD Metro</v>
          </cell>
          <cell r="F5" t="str">
            <v>Jonathan Cogan</v>
          </cell>
          <cell r="G5">
            <v>1</v>
          </cell>
          <cell r="H5">
            <v>0.95</v>
          </cell>
          <cell r="I5">
            <v>0.95499999999999996</v>
          </cell>
          <cell r="J5" t="str">
            <v>CoA Accepted</v>
          </cell>
          <cell r="K5" t="str">
            <v>PC Submitted</v>
          </cell>
        </row>
        <row r="6">
          <cell r="B6" t="str">
            <v>CRC6</v>
          </cell>
          <cell r="C6" t="str">
            <v>FSAM</v>
          </cell>
          <cell r="D6" t="str">
            <v>NSW</v>
          </cell>
          <cell r="E6" t="str">
            <v>NSW South / ACT</v>
          </cell>
          <cell r="F6" t="str">
            <v>Steven Blewitt</v>
          </cell>
          <cell r="G6">
            <v>1</v>
          </cell>
          <cell r="H6">
            <v>0.95</v>
          </cell>
          <cell r="I6">
            <v>0.95499999999999996</v>
          </cell>
          <cell r="J6" t="str">
            <v>CoA Accepted</v>
          </cell>
          <cell r="K6" t="str">
            <v>PC Submitted</v>
          </cell>
        </row>
        <row r="7">
          <cell r="B7" t="str">
            <v>CRC3</v>
          </cell>
          <cell r="C7" t="str">
            <v>FSAM</v>
          </cell>
          <cell r="D7" t="str">
            <v>NSW</v>
          </cell>
          <cell r="E7" t="str">
            <v>NSW South / ACT</v>
          </cell>
          <cell r="F7" t="str">
            <v>Steven Blewitt</v>
          </cell>
          <cell r="G7">
            <v>1</v>
          </cell>
          <cell r="H7">
            <v>0.95</v>
          </cell>
          <cell r="I7">
            <v>0.95499999999999996</v>
          </cell>
          <cell r="J7" t="str">
            <v>CoA Accepted</v>
          </cell>
          <cell r="K7" t="str">
            <v>PC Submitted</v>
          </cell>
        </row>
        <row r="8">
          <cell r="B8" t="str">
            <v>ARM4</v>
          </cell>
          <cell r="C8" t="str">
            <v>FSAM</v>
          </cell>
          <cell r="D8" t="str">
            <v>NSW</v>
          </cell>
          <cell r="E8" t="str">
            <v>NSW North</v>
          </cell>
          <cell r="F8" t="str">
            <v>James Herden</v>
          </cell>
          <cell r="G8">
            <v>0.95</v>
          </cell>
          <cell r="H8">
            <v>0.95</v>
          </cell>
          <cell r="I8">
            <v>0.95</v>
          </cell>
          <cell r="J8" t="str">
            <v>Gate 3 Submitted</v>
          </cell>
          <cell r="K8" t="str">
            <v>PC Submitted</v>
          </cell>
        </row>
        <row r="9">
          <cell r="B9" t="str">
            <v>ARM5</v>
          </cell>
          <cell r="C9" t="str">
            <v>FSAM</v>
          </cell>
          <cell r="D9" t="str">
            <v>NSW</v>
          </cell>
          <cell r="E9" t="str">
            <v>NSW North</v>
          </cell>
          <cell r="F9" t="str">
            <v>James Herden</v>
          </cell>
          <cell r="G9">
            <v>0.95</v>
          </cell>
          <cell r="H9">
            <v>0.95</v>
          </cell>
          <cell r="I9">
            <v>0.95</v>
          </cell>
          <cell r="J9" t="str">
            <v>Gate 3 Submitted</v>
          </cell>
          <cell r="K9" t="str">
            <v>PC Submitted</v>
          </cell>
        </row>
        <row r="10">
          <cell r="B10" t="str">
            <v>CFS1</v>
          </cell>
          <cell r="C10" t="str">
            <v>FSAM</v>
          </cell>
          <cell r="D10" t="str">
            <v>NSW</v>
          </cell>
          <cell r="E10" t="str">
            <v>NSW North</v>
          </cell>
          <cell r="F10" t="str">
            <v>James Herden</v>
          </cell>
          <cell r="G10">
            <v>0</v>
          </cell>
          <cell r="H10">
            <v>0.95</v>
          </cell>
          <cell r="I10">
            <v>0.85499999999999998</v>
          </cell>
          <cell r="J10" t="str">
            <v>CI Not Received</v>
          </cell>
          <cell r="K10" t="str">
            <v>PC Submitted</v>
          </cell>
        </row>
        <row r="11">
          <cell r="B11" t="str">
            <v>CFS2</v>
          </cell>
          <cell r="C11" t="str">
            <v>FSAM</v>
          </cell>
          <cell r="D11" t="str">
            <v>NSW</v>
          </cell>
          <cell r="E11" t="str">
            <v>NSW North</v>
          </cell>
          <cell r="F11" t="str">
            <v>James Herden</v>
          </cell>
          <cell r="G11">
            <v>0</v>
          </cell>
          <cell r="H11">
            <v>0.95</v>
          </cell>
          <cell r="I11">
            <v>0.85499999999999998</v>
          </cell>
          <cell r="J11" t="str">
            <v>CI Not Received</v>
          </cell>
          <cell r="K11" t="str">
            <v>PC Submitted</v>
          </cell>
        </row>
        <row r="12">
          <cell r="B12" t="str">
            <v>CRC1</v>
          </cell>
          <cell r="C12" t="str">
            <v>FSAM</v>
          </cell>
          <cell r="D12" t="str">
            <v>NSW</v>
          </cell>
          <cell r="E12" t="str">
            <v>NSW South / ACT</v>
          </cell>
          <cell r="F12" t="str">
            <v>Steven Blewitt</v>
          </cell>
          <cell r="G12">
            <v>1</v>
          </cell>
          <cell r="H12">
            <v>0.9</v>
          </cell>
          <cell r="I12">
            <v>0.91</v>
          </cell>
          <cell r="J12" t="str">
            <v>CoA Accepted</v>
          </cell>
          <cell r="K12" t="str">
            <v>Testing Completed</v>
          </cell>
        </row>
        <row r="13">
          <cell r="B13" t="str">
            <v>GDN2</v>
          </cell>
          <cell r="C13" t="str">
            <v>FSAM</v>
          </cell>
          <cell r="D13" t="str">
            <v>QLD</v>
          </cell>
          <cell r="E13" t="str">
            <v>QLD Metro</v>
          </cell>
          <cell r="F13" t="str">
            <v>Jonathan Cogan</v>
          </cell>
          <cell r="G13">
            <v>1</v>
          </cell>
          <cell r="H13">
            <v>0.9</v>
          </cell>
          <cell r="I13">
            <v>0.91</v>
          </cell>
          <cell r="J13" t="str">
            <v>CoA Accepted</v>
          </cell>
          <cell r="K13" t="str">
            <v>Testing Completed</v>
          </cell>
        </row>
        <row r="14">
          <cell r="B14" t="str">
            <v>GOS2</v>
          </cell>
          <cell r="C14" t="str">
            <v>FSAM</v>
          </cell>
          <cell r="D14" t="str">
            <v>NSW</v>
          </cell>
          <cell r="E14" t="str">
            <v>Sydney East</v>
          </cell>
          <cell r="F14" t="str">
            <v>Adam Walsh</v>
          </cell>
          <cell r="G14">
            <v>1</v>
          </cell>
          <cell r="H14">
            <v>0.9</v>
          </cell>
          <cell r="I14">
            <v>0.91</v>
          </cell>
          <cell r="J14" t="str">
            <v>CoA Accepted</v>
          </cell>
          <cell r="K14" t="str">
            <v>Testing Completed</v>
          </cell>
        </row>
        <row r="15">
          <cell r="B15" t="str">
            <v>TOB2</v>
          </cell>
          <cell r="C15" t="str">
            <v>FSAM</v>
          </cell>
          <cell r="D15" t="str">
            <v>QLD</v>
          </cell>
          <cell r="E15" t="str">
            <v>QLD South</v>
          </cell>
          <cell r="F15" t="str">
            <v>Alan Bassett</v>
          </cell>
          <cell r="G15">
            <v>1</v>
          </cell>
          <cell r="H15">
            <v>0.9</v>
          </cell>
          <cell r="I15">
            <v>0.91</v>
          </cell>
          <cell r="J15" t="str">
            <v>CoA Accepted</v>
          </cell>
          <cell r="K15" t="str">
            <v>Testing Completed</v>
          </cell>
        </row>
        <row r="16">
          <cell r="B16" t="str">
            <v>GOS1</v>
          </cell>
          <cell r="C16" t="str">
            <v>FSAM</v>
          </cell>
          <cell r="D16" t="str">
            <v>NSW</v>
          </cell>
          <cell r="E16" t="str">
            <v>Sydney East</v>
          </cell>
          <cell r="F16" t="str">
            <v>Adam Walsh</v>
          </cell>
          <cell r="G16">
            <v>1</v>
          </cell>
          <cell r="H16">
            <v>0.9</v>
          </cell>
          <cell r="I16">
            <v>0.91</v>
          </cell>
          <cell r="J16" t="str">
            <v>CoA Accepted</v>
          </cell>
          <cell r="K16" t="str">
            <v>Testing Completed</v>
          </cell>
        </row>
        <row r="17">
          <cell r="B17" t="str">
            <v>APL3</v>
          </cell>
          <cell r="C17" t="str">
            <v>FSAM</v>
          </cell>
          <cell r="D17" t="str">
            <v>QLD</v>
          </cell>
          <cell r="E17" t="str">
            <v>QLD Metro</v>
          </cell>
          <cell r="F17" t="str">
            <v>Jonathan Cogan</v>
          </cell>
          <cell r="G17">
            <v>1</v>
          </cell>
          <cell r="H17">
            <v>0.9</v>
          </cell>
          <cell r="I17">
            <v>0.91</v>
          </cell>
          <cell r="J17" t="str">
            <v>CoA Accepted</v>
          </cell>
          <cell r="K17" t="str">
            <v>Testing Completed</v>
          </cell>
        </row>
        <row r="18">
          <cell r="B18" t="str">
            <v>GDN1</v>
          </cell>
          <cell r="C18" t="str">
            <v>FSAM</v>
          </cell>
          <cell r="D18" t="str">
            <v>QLD</v>
          </cell>
          <cell r="E18" t="str">
            <v>QLD Metro</v>
          </cell>
          <cell r="F18" t="str">
            <v>Jonathan Cogan</v>
          </cell>
          <cell r="G18">
            <v>1</v>
          </cell>
          <cell r="H18">
            <v>0.9</v>
          </cell>
          <cell r="I18">
            <v>0.91</v>
          </cell>
          <cell r="J18" t="str">
            <v>CoA Accepted</v>
          </cell>
          <cell r="K18" t="str">
            <v>Testing Completed</v>
          </cell>
        </row>
        <row r="19">
          <cell r="B19" t="str">
            <v>APL4</v>
          </cell>
          <cell r="C19" t="str">
            <v>FSAM</v>
          </cell>
          <cell r="D19" t="str">
            <v>QLD</v>
          </cell>
          <cell r="E19" t="str">
            <v>QLD Metro</v>
          </cell>
          <cell r="F19" t="str">
            <v>Jonathan Cogan</v>
          </cell>
          <cell r="G19">
            <v>1</v>
          </cell>
          <cell r="H19">
            <v>0.9</v>
          </cell>
          <cell r="I19">
            <v>0.91</v>
          </cell>
          <cell r="J19" t="str">
            <v>CoA Accepted</v>
          </cell>
          <cell r="K19" t="str">
            <v>Testing Completed</v>
          </cell>
        </row>
        <row r="20">
          <cell r="B20" t="str">
            <v>CAI1</v>
          </cell>
          <cell r="C20" t="str">
            <v>FSAM</v>
          </cell>
          <cell r="D20" t="str">
            <v>QLD</v>
          </cell>
          <cell r="E20" t="str">
            <v>QLD North</v>
          </cell>
          <cell r="F20" t="str">
            <v>Sunil Nair</v>
          </cell>
          <cell r="G20">
            <v>1</v>
          </cell>
          <cell r="H20">
            <v>0.9</v>
          </cell>
          <cell r="I20">
            <v>0.91</v>
          </cell>
          <cell r="J20" t="str">
            <v>CoA Accepted</v>
          </cell>
          <cell r="K20" t="str">
            <v>Testing Completed</v>
          </cell>
        </row>
        <row r="21">
          <cell r="B21" t="str">
            <v>CRC4</v>
          </cell>
          <cell r="C21" t="str">
            <v>FSAM</v>
          </cell>
          <cell r="D21" t="str">
            <v>NSW</v>
          </cell>
          <cell r="E21" t="str">
            <v>NSW South / ACT</v>
          </cell>
          <cell r="F21" t="str">
            <v>Steven Blewitt</v>
          </cell>
          <cell r="G21">
            <v>1</v>
          </cell>
          <cell r="H21">
            <v>0.9</v>
          </cell>
          <cell r="I21">
            <v>0.91</v>
          </cell>
          <cell r="J21" t="str">
            <v>CoA Accepted</v>
          </cell>
          <cell r="K21" t="str">
            <v>Testing Completed</v>
          </cell>
        </row>
        <row r="22">
          <cell r="B22" t="str">
            <v>CRC2</v>
          </cell>
          <cell r="C22" t="str">
            <v>FSAM</v>
          </cell>
          <cell r="D22" t="str">
            <v>NSW</v>
          </cell>
          <cell r="E22" t="str">
            <v>NSW South / ACT</v>
          </cell>
          <cell r="F22" t="str">
            <v>Steven Blewitt</v>
          </cell>
          <cell r="G22">
            <v>0.95</v>
          </cell>
          <cell r="H22">
            <v>0.9</v>
          </cell>
          <cell r="I22">
            <v>0.90500000000000003</v>
          </cell>
          <cell r="J22" t="str">
            <v>Gate 3 Submitted</v>
          </cell>
          <cell r="K22" t="str">
            <v>Testing Completed</v>
          </cell>
        </row>
        <row r="23">
          <cell r="B23" t="str">
            <v>GDN4</v>
          </cell>
          <cell r="C23" t="str">
            <v>FSAM</v>
          </cell>
          <cell r="D23" t="str">
            <v>QLD</v>
          </cell>
          <cell r="E23" t="str">
            <v>QLD Metro</v>
          </cell>
          <cell r="F23" t="str">
            <v>Jonathan Cogan</v>
          </cell>
          <cell r="G23">
            <v>0.95</v>
          </cell>
          <cell r="H23">
            <v>0.9</v>
          </cell>
          <cell r="I23">
            <v>0.90500000000000003</v>
          </cell>
          <cell r="J23" t="str">
            <v>Gate 3 Submitted</v>
          </cell>
          <cell r="K23" t="str">
            <v>Testing Completed</v>
          </cell>
        </row>
        <row r="24">
          <cell r="B24" t="str">
            <v>ARM6</v>
          </cell>
          <cell r="C24" t="str">
            <v>FSAM</v>
          </cell>
          <cell r="D24" t="str">
            <v>NSW</v>
          </cell>
          <cell r="E24" t="str">
            <v>NSW North</v>
          </cell>
          <cell r="F24" t="str">
            <v>James Herden</v>
          </cell>
          <cell r="G24">
            <v>0.95</v>
          </cell>
          <cell r="H24">
            <v>0.9</v>
          </cell>
          <cell r="I24">
            <v>0.90500000000000003</v>
          </cell>
          <cell r="J24" t="str">
            <v>Gate 3 Submitted</v>
          </cell>
          <cell r="K24" t="str">
            <v>Testing Completed</v>
          </cell>
        </row>
        <row r="25">
          <cell r="B25" t="str">
            <v>RCH4</v>
          </cell>
          <cell r="C25" t="str">
            <v>FSAM</v>
          </cell>
          <cell r="D25" t="str">
            <v>NSW</v>
          </cell>
          <cell r="E25" t="str">
            <v>Sydney West</v>
          </cell>
          <cell r="F25" t="str">
            <v>Damien Marov</v>
          </cell>
          <cell r="G25">
            <v>0.95</v>
          </cell>
          <cell r="H25">
            <v>0.9</v>
          </cell>
          <cell r="I25">
            <v>0.90500000000000003</v>
          </cell>
          <cell r="J25" t="str">
            <v>Gate 3 Submitted</v>
          </cell>
          <cell r="K25" t="str">
            <v>Testing Completed</v>
          </cell>
        </row>
        <row r="26">
          <cell r="B26" t="str">
            <v>TNS2</v>
          </cell>
          <cell r="C26" t="str">
            <v>FSAM</v>
          </cell>
          <cell r="D26" t="str">
            <v>QLD</v>
          </cell>
          <cell r="E26" t="str">
            <v>QLD North</v>
          </cell>
          <cell r="F26" t="str">
            <v>Sunil Nair</v>
          </cell>
          <cell r="G26">
            <v>0.95</v>
          </cell>
          <cell r="H26">
            <v>0.9</v>
          </cell>
          <cell r="I26">
            <v>0.90500000000000003</v>
          </cell>
          <cell r="J26" t="str">
            <v>Gate 3 Submitted</v>
          </cell>
          <cell r="K26" t="str">
            <v>Testing Completed</v>
          </cell>
        </row>
        <row r="27">
          <cell r="B27" t="str">
            <v>TNS1</v>
          </cell>
          <cell r="C27" t="str">
            <v>FSAM</v>
          </cell>
          <cell r="D27" t="str">
            <v>QLD</v>
          </cell>
          <cell r="E27" t="str">
            <v>QLD North</v>
          </cell>
          <cell r="F27" t="str">
            <v>Sunil Nair</v>
          </cell>
          <cell r="G27">
            <v>0.95</v>
          </cell>
          <cell r="H27">
            <v>0.9</v>
          </cell>
          <cell r="I27">
            <v>0.90500000000000003</v>
          </cell>
          <cell r="J27" t="str">
            <v>Gate 3 Submitted</v>
          </cell>
          <cell r="K27" t="str">
            <v>Testing Completed</v>
          </cell>
        </row>
        <row r="28">
          <cell r="B28" t="str">
            <v>TOB3</v>
          </cell>
          <cell r="C28" t="str">
            <v>FSAM</v>
          </cell>
          <cell r="D28" t="str">
            <v>QLD</v>
          </cell>
          <cell r="E28" t="str">
            <v>QLD South</v>
          </cell>
          <cell r="F28" t="str">
            <v>Alan Bassett</v>
          </cell>
          <cell r="G28">
            <v>0.95</v>
          </cell>
          <cell r="H28">
            <v>0.9</v>
          </cell>
          <cell r="I28">
            <v>0.90500000000000003</v>
          </cell>
          <cell r="J28" t="str">
            <v>Gate 3 Submitted</v>
          </cell>
          <cell r="K28" t="str">
            <v>Testing Completed</v>
          </cell>
        </row>
        <row r="29">
          <cell r="B29" t="str">
            <v>KIA3</v>
          </cell>
          <cell r="C29" t="str">
            <v>FSAM</v>
          </cell>
          <cell r="D29" t="str">
            <v>NSW</v>
          </cell>
          <cell r="E29" t="str">
            <v>NSW South / ACT</v>
          </cell>
          <cell r="F29" t="str">
            <v>Steven Blewitt</v>
          </cell>
          <cell r="G29">
            <v>0.95</v>
          </cell>
          <cell r="H29">
            <v>0.9</v>
          </cell>
          <cell r="I29">
            <v>0.90500000000000003</v>
          </cell>
          <cell r="J29" t="str">
            <v>Gate 3 Submitted</v>
          </cell>
          <cell r="K29" t="str">
            <v>Testing Completed</v>
          </cell>
        </row>
        <row r="30">
          <cell r="B30" t="str">
            <v>BLK1</v>
          </cell>
          <cell r="C30" t="str">
            <v>FSAM</v>
          </cell>
          <cell r="D30" t="str">
            <v>NSW</v>
          </cell>
          <cell r="E30" t="str">
            <v>Sydney West</v>
          </cell>
          <cell r="F30" t="str">
            <v>Damien Marov</v>
          </cell>
          <cell r="G30">
            <v>0.95</v>
          </cell>
          <cell r="H30">
            <v>0.9</v>
          </cell>
          <cell r="I30">
            <v>0.90500000000000003</v>
          </cell>
          <cell r="J30" t="str">
            <v>Gate 3 Submitted</v>
          </cell>
          <cell r="K30" t="str">
            <v>Testing Completed</v>
          </cell>
        </row>
        <row r="31">
          <cell r="B31" t="str">
            <v>PTH1</v>
          </cell>
          <cell r="C31" t="str">
            <v>FSAM</v>
          </cell>
          <cell r="D31" t="str">
            <v>NSW</v>
          </cell>
          <cell r="E31" t="str">
            <v>Sydney West</v>
          </cell>
          <cell r="F31" t="str">
            <v>Damien Marov</v>
          </cell>
          <cell r="G31">
            <v>0.95</v>
          </cell>
          <cell r="H31">
            <v>0.9</v>
          </cell>
          <cell r="I31">
            <v>0.90500000000000003</v>
          </cell>
          <cell r="J31" t="str">
            <v>Gate 3 Submitted</v>
          </cell>
          <cell r="K31" t="str">
            <v>Testing Completed</v>
          </cell>
        </row>
        <row r="32">
          <cell r="B32" t="str">
            <v>TNS3</v>
          </cell>
          <cell r="C32" t="str">
            <v>FSAM</v>
          </cell>
          <cell r="D32" t="str">
            <v>QLD</v>
          </cell>
          <cell r="E32" t="str">
            <v>QLD North</v>
          </cell>
          <cell r="F32" t="str">
            <v>Sunil Nair</v>
          </cell>
          <cell r="G32">
            <v>0.95</v>
          </cell>
          <cell r="H32">
            <v>0.9</v>
          </cell>
          <cell r="I32">
            <v>0.90500000000000003</v>
          </cell>
          <cell r="J32" t="str">
            <v>Gate 3 Submitted</v>
          </cell>
          <cell r="K32" t="str">
            <v>Testing Completed</v>
          </cell>
        </row>
        <row r="33">
          <cell r="B33" t="str">
            <v>SAW1</v>
          </cell>
          <cell r="C33" t="str">
            <v>FSAM</v>
          </cell>
          <cell r="D33" t="str">
            <v>NSW</v>
          </cell>
          <cell r="E33" t="str">
            <v>NSW North</v>
          </cell>
          <cell r="F33" t="str">
            <v>James Herden</v>
          </cell>
          <cell r="G33">
            <v>0.95</v>
          </cell>
          <cell r="H33">
            <v>0.9</v>
          </cell>
          <cell r="I33">
            <v>0.90500000000000003</v>
          </cell>
          <cell r="J33" t="str">
            <v>Gate 3 Submitted</v>
          </cell>
          <cell r="K33" t="str">
            <v>Testing Completed</v>
          </cell>
        </row>
        <row r="34">
          <cell r="B34" t="str">
            <v>SAW3</v>
          </cell>
          <cell r="C34" t="str">
            <v>FSAM</v>
          </cell>
          <cell r="D34" t="str">
            <v>NSW</v>
          </cell>
          <cell r="E34" t="str">
            <v>NSW North</v>
          </cell>
          <cell r="F34" t="str">
            <v>James Herden</v>
          </cell>
          <cell r="G34">
            <v>0.95</v>
          </cell>
          <cell r="H34">
            <v>0.9</v>
          </cell>
          <cell r="I34">
            <v>0.90500000000000003</v>
          </cell>
          <cell r="J34" t="str">
            <v>Gate 3 Submitted</v>
          </cell>
          <cell r="K34" t="str">
            <v>Testing Completed</v>
          </cell>
        </row>
        <row r="35">
          <cell r="B35" t="str">
            <v>TOB4</v>
          </cell>
          <cell r="C35" t="str">
            <v>FSAM</v>
          </cell>
          <cell r="D35" t="str">
            <v>QLD</v>
          </cell>
          <cell r="E35" t="str">
            <v>QLD South</v>
          </cell>
          <cell r="F35" t="str">
            <v>Alan Bassett</v>
          </cell>
          <cell r="G35">
            <v>0.95</v>
          </cell>
          <cell r="H35">
            <v>0.9</v>
          </cell>
          <cell r="I35">
            <v>0.90500000000000003</v>
          </cell>
          <cell r="J35" t="str">
            <v>Gate 3 Submitted</v>
          </cell>
          <cell r="K35" t="str">
            <v>Testing Completed</v>
          </cell>
        </row>
        <row r="36">
          <cell r="B36" t="str">
            <v>GUL2</v>
          </cell>
          <cell r="C36" t="str">
            <v>FSAM</v>
          </cell>
          <cell r="D36" t="str">
            <v>QLD</v>
          </cell>
          <cell r="E36" t="str">
            <v>QLD North</v>
          </cell>
          <cell r="F36" t="str">
            <v>Sunil Nair</v>
          </cell>
          <cell r="G36">
            <v>0.95</v>
          </cell>
          <cell r="H36">
            <v>0.9</v>
          </cell>
          <cell r="I36">
            <v>0.90500000000000003</v>
          </cell>
          <cell r="J36" t="str">
            <v>Gate 3 Submitted</v>
          </cell>
          <cell r="K36" t="str">
            <v>Testing Completed</v>
          </cell>
        </row>
        <row r="37">
          <cell r="B37" t="str">
            <v>CFS5</v>
          </cell>
          <cell r="C37" t="str">
            <v>FSAM</v>
          </cell>
          <cell r="D37" t="str">
            <v>NSW</v>
          </cell>
          <cell r="E37" t="str">
            <v>NSW North</v>
          </cell>
          <cell r="F37" t="str">
            <v>James Herden</v>
          </cell>
          <cell r="G37">
            <v>0.95</v>
          </cell>
          <cell r="H37">
            <v>0.9</v>
          </cell>
          <cell r="I37">
            <v>0.90500000000000003</v>
          </cell>
          <cell r="J37" t="str">
            <v>Gate 3 Submitted</v>
          </cell>
          <cell r="K37" t="str">
            <v>Testing Completed</v>
          </cell>
        </row>
        <row r="38">
          <cell r="B38" t="str">
            <v>HOM1</v>
          </cell>
          <cell r="C38" t="str">
            <v>FSAM</v>
          </cell>
          <cell r="D38" t="str">
            <v>NSW</v>
          </cell>
          <cell r="E38" t="str">
            <v>Sydney East</v>
          </cell>
          <cell r="F38" t="str">
            <v>Adam Walsh</v>
          </cell>
          <cell r="G38">
            <v>0.95</v>
          </cell>
          <cell r="H38">
            <v>0.9</v>
          </cell>
          <cell r="I38">
            <v>0.90500000000000003</v>
          </cell>
          <cell r="J38" t="str">
            <v>Gate 3 Submitted</v>
          </cell>
          <cell r="K38" t="str">
            <v>Testing Completed</v>
          </cell>
        </row>
        <row r="39">
          <cell r="B39" t="str">
            <v>RCH2</v>
          </cell>
          <cell r="C39" t="str">
            <v>FSAM</v>
          </cell>
          <cell r="D39" t="str">
            <v>NSW</v>
          </cell>
          <cell r="E39" t="str">
            <v>Sydney West</v>
          </cell>
          <cell r="F39" t="str">
            <v>Damien Marov</v>
          </cell>
          <cell r="G39">
            <v>0.95</v>
          </cell>
          <cell r="H39">
            <v>0.9</v>
          </cell>
          <cell r="I39">
            <v>0.90500000000000003</v>
          </cell>
          <cell r="J39" t="str">
            <v>Gate 3 Submitted</v>
          </cell>
          <cell r="K39" t="str">
            <v>Testing Completed</v>
          </cell>
        </row>
        <row r="40">
          <cell r="B40" t="str">
            <v>GUL3</v>
          </cell>
          <cell r="C40" t="str">
            <v>FSAM</v>
          </cell>
          <cell r="D40" t="str">
            <v>QLD</v>
          </cell>
          <cell r="E40" t="str">
            <v>QLD North</v>
          </cell>
          <cell r="F40" t="str">
            <v>Sunil Nair</v>
          </cell>
          <cell r="G40">
            <v>0.95</v>
          </cell>
          <cell r="H40">
            <v>0.9</v>
          </cell>
          <cell r="I40">
            <v>0.90500000000000003</v>
          </cell>
          <cell r="J40" t="str">
            <v>Gate 3 Submitted</v>
          </cell>
          <cell r="K40" t="str">
            <v>Testing Completed</v>
          </cell>
        </row>
        <row r="41">
          <cell r="B41" t="str">
            <v>CRC5</v>
          </cell>
          <cell r="C41" t="str">
            <v>FSAM</v>
          </cell>
          <cell r="D41" t="str">
            <v>NSW</v>
          </cell>
          <cell r="E41" t="str">
            <v>NSW South / ACT</v>
          </cell>
          <cell r="F41" t="str">
            <v>Steven Blewitt</v>
          </cell>
          <cell r="G41">
            <v>0.95</v>
          </cell>
          <cell r="H41">
            <v>0.9</v>
          </cell>
          <cell r="I41">
            <v>0.90500000000000003</v>
          </cell>
          <cell r="J41" t="str">
            <v>Gate 3 Submitted</v>
          </cell>
          <cell r="K41" t="str">
            <v>Testing Completed</v>
          </cell>
        </row>
        <row r="42">
          <cell r="B42" t="str">
            <v>GUL4</v>
          </cell>
          <cell r="C42" t="str">
            <v>FSAM</v>
          </cell>
          <cell r="D42" t="str">
            <v>QLD</v>
          </cell>
          <cell r="E42" t="str">
            <v>QLD North</v>
          </cell>
          <cell r="F42" t="str">
            <v>Sunil Nair</v>
          </cell>
          <cell r="G42">
            <v>0.95</v>
          </cell>
          <cell r="H42">
            <v>0.9</v>
          </cell>
          <cell r="I42">
            <v>0.90500000000000003</v>
          </cell>
          <cell r="J42" t="str">
            <v>Gate 3 Submitted</v>
          </cell>
          <cell r="K42" t="str">
            <v>Testing Completed</v>
          </cell>
        </row>
        <row r="43">
          <cell r="B43" t="str">
            <v>CFS3</v>
          </cell>
          <cell r="C43" t="str">
            <v>FSAM</v>
          </cell>
          <cell r="D43" t="str">
            <v>NSW</v>
          </cell>
          <cell r="E43" t="str">
            <v>NSW North</v>
          </cell>
          <cell r="F43" t="str">
            <v>James Herden</v>
          </cell>
          <cell r="G43">
            <v>0.95</v>
          </cell>
          <cell r="H43">
            <v>0.9</v>
          </cell>
          <cell r="I43">
            <v>0.90500000000000003</v>
          </cell>
          <cell r="J43" t="str">
            <v>Gate 3 Submitted</v>
          </cell>
          <cell r="K43" t="str">
            <v>Testing Completed</v>
          </cell>
        </row>
        <row r="44">
          <cell r="B44" t="str">
            <v>SAW2</v>
          </cell>
          <cell r="C44" t="str">
            <v>FSAM</v>
          </cell>
          <cell r="D44" t="str">
            <v>NSW</v>
          </cell>
          <cell r="E44" t="str">
            <v>NSW North</v>
          </cell>
          <cell r="F44" t="str">
            <v>James Herden</v>
          </cell>
          <cell r="G44">
            <v>0.95</v>
          </cell>
          <cell r="H44">
            <v>0.9</v>
          </cell>
          <cell r="I44">
            <v>0.90500000000000003</v>
          </cell>
          <cell r="J44" t="str">
            <v>Gate 3 Submitted</v>
          </cell>
          <cell r="K44" t="str">
            <v>Testing Completed</v>
          </cell>
        </row>
        <row r="45">
          <cell r="B45" t="str">
            <v>LID1</v>
          </cell>
          <cell r="C45" t="str">
            <v>FSAM</v>
          </cell>
          <cell r="D45" t="str">
            <v>NSW</v>
          </cell>
          <cell r="E45" t="str">
            <v>Sydney East</v>
          </cell>
          <cell r="F45" t="str">
            <v>Adam Walsh</v>
          </cell>
          <cell r="G45">
            <v>1</v>
          </cell>
          <cell r="H45">
            <v>0.4</v>
          </cell>
          <cell r="I45">
            <v>0.46000000000000008</v>
          </cell>
          <cell r="J45" t="str">
            <v>CoA Accepted</v>
          </cell>
          <cell r="K45" t="str">
            <v>Hauling Completed</v>
          </cell>
        </row>
        <row r="46">
          <cell r="B46" t="str">
            <v>APL2</v>
          </cell>
          <cell r="C46" t="str">
            <v>FSAM</v>
          </cell>
          <cell r="D46" t="str">
            <v>QLD</v>
          </cell>
          <cell r="E46" t="str">
            <v>QLD Metro</v>
          </cell>
          <cell r="F46" t="str">
            <v>Jonathan Cogan</v>
          </cell>
          <cell r="G46">
            <v>1</v>
          </cell>
          <cell r="H46">
            <v>0.4</v>
          </cell>
          <cell r="I46">
            <v>0.46000000000000008</v>
          </cell>
          <cell r="J46" t="str">
            <v>CoA Accepted</v>
          </cell>
          <cell r="K46" t="str">
            <v>Hauling Completed</v>
          </cell>
        </row>
        <row r="47">
          <cell r="B47" t="str">
            <v>GDN3</v>
          </cell>
          <cell r="C47" t="str">
            <v>FSAM</v>
          </cell>
          <cell r="D47" t="str">
            <v>QLD</v>
          </cell>
          <cell r="E47" t="str">
            <v>QLD Metro</v>
          </cell>
          <cell r="F47" t="str">
            <v>Jonathan Cogan</v>
          </cell>
          <cell r="G47">
            <v>0.95</v>
          </cell>
          <cell r="H47">
            <v>0.4</v>
          </cell>
          <cell r="I47">
            <v>0.45500000000000007</v>
          </cell>
          <cell r="J47" t="str">
            <v>Gate 3 Submitted</v>
          </cell>
          <cell r="K47" t="str">
            <v>Hauling Completed</v>
          </cell>
        </row>
        <row r="48">
          <cell r="B48" t="str">
            <v>GUL5</v>
          </cell>
          <cell r="C48" t="str">
            <v>FSAM</v>
          </cell>
          <cell r="D48" t="str">
            <v>QLD</v>
          </cell>
          <cell r="E48" t="str">
            <v>QLD North</v>
          </cell>
          <cell r="F48" t="str">
            <v>Sunil Nair</v>
          </cell>
          <cell r="G48">
            <v>0.95</v>
          </cell>
          <cell r="H48">
            <v>0.4</v>
          </cell>
          <cell r="I48">
            <v>0.45500000000000007</v>
          </cell>
          <cell r="J48" t="str">
            <v>Gate 3 Submitted</v>
          </cell>
          <cell r="K48" t="str">
            <v>Hauling Completed</v>
          </cell>
        </row>
        <row r="49">
          <cell r="B49" t="str">
            <v>HOM2</v>
          </cell>
          <cell r="C49" t="str">
            <v>FSAM</v>
          </cell>
          <cell r="D49" t="str">
            <v>NSW</v>
          </cell>
          <cell r="E49" t="str">
            <v>Sydney East</v>
          </cell>
          <cell r="F49" t="str">
            <v>Adam Walsh</v>
          </cell>
          <cell r="G49">
            <v>1</v>
          </cell>
          <cell r="H49">
            <v>0.1</v>
          </cell>
          <cell r="I49">
            <v>0.19</v>
          </cell>
          <cell r="J49" t="str">
            <v>CoA Accepted</v>
          </cell>
          <cell r="K49" t="str">
            <v>Civil Started</v>
          </cell>
        </row>
        <row r="50">
          <cell r="B50" t="str">
            <v>CFS6</v>
          </cell>
          <cell r="C50" t="str">
            <v>FSAM</v>
          </cell>
          <cell r="D50" t="str">
            <v>NSW</v>
          </cell>
          <cell r="E50" t="str">
            <v>NSW North</v>
          </cell>
          <cell r="F50" t="str">
            <v>James Herden</v>
          </cell>
          <cell r="G50">
            <v>0.95</v>
          </cell>
          <cell r="H50">
            <v>0.1</v>
          </cell>
          <cell r="I50">
            <v>0.185</v>
          </cell>
          <cell r="J50" t="str">
            <v>Gate 3 Submitted</v>
          </cell>
          <cell r="K50" t="str">
            <v>Civil Started</v>
          </cell>
        </row>
        <row r="51">
          <cell r="B51" t="str">
            <v>KIA2</v>
          </cell>
          <cell r="C51" t="str">
            <v>FSAM</v>
          </cell>
          <cell r="D51" t="str">
            <v>NSW</v>
          </cell>
          <cell r="E51" t="str">
            <v>NSW South / ACT</v>
          </cell>
          <cell r="F51" t="str">
            <v>Steven Blewitt</v>
          </cell>
          <cell r="G51">
            <v>0.95</v>
          </cell>
          <cell r="H51">
            <v>0.1</v>
          </cell>
          <cell r="I51">
            <v>0.185</v>
          </cell>
          <cell r="J51" t="str">
            <v>Gate 3 Submitted</v>
          </cell>
          <cell r="K51" t="str">
            <v>Civil Started</v>
          </cell>
        </row>
        <row r="52">
          <cell r="B52" t="str">
            <v>PTH2</v>
          </cell>
          <cell r="C52" t="str">
            <v>FSAM</v>
          </cell>
          <cell r="D52" t="str">
            <v>NSW</v>
          </cell>
          <cell r="E52" t="str">
            <v>Sydney West</v>
          </cell>
          <cell r="F52" t="str">
            <v>Damien Marov</v>
          </cell>
          <cell r="G52">
            <v>0.95</v>
          </cell>
          <cell r="H52">
            <v>0.1</v>
          </cell>
          <cell r="I52">
            <v>0.185</v>
          </cell>
          <cell r="J52" t="str">
            <v>Gate 3 Submitted</v>
          </cell>
          <cell r="K52" t="str">
            <v>Civil Started</v>
          </cell>
        </row>
        <row r="53">
          <cell r="B53" t="str">
            <v>GOS3</v>
          </cell>
          <cell r="C53" t="str">
            <v>FSAM</v>
          </cell>
          <cell r="D53" t="str">
            <v>NSW</v>
          </cell>
          <cell r="E53" t="str">
            <v>Sydney East</v>
          </cell>
          <cell r="F53" t="str">
            <v>Adam Walsh</v>
          </cell>
          <cell r="G53">
            <v>0.95</v>
          </cell>
          <cell r="H53">
            <v>0.1</v>
          </cell>
          <cell r="I53">
            <v>0.185</v>
          </cell>
          <cell r="J53" t="str">
            <v>Gate 3 Submitted</v>
          </cell>
          <cell r="K53" t="str">
            <v>Civil Started</v>
          </cell>
        </row>
        <row r="54">
          <cell r="B54" t="str">
            <v>LID2</v>
          </cell>
          <cell r="C54" t="str">
            <v>FSAM</v>
          </cell>
          <cell r="D54" t="str">
            <v>NSW</v>
          </cell>
          <cell r="E54" t="str">
            <v>Sydney East</v>
          </cell>
          <cell r="F54" t="str">
            <v>Adam Walsh</v>
          </cell>
          <cell r="G54">
            <v>0.95</v>
          </cell>
          <cell r="H54">
            <v>0.1</v>
          </cell>
          <cell r="I54">
            <v>0.185</v>
          </cell>
          <cell r="J54" t="str">
            <v>Gate 3 Submitted</v>
          </cell>
          <cell r="K54" t="str">
            <v>Civil Started</v>
          </cell>
        </row>
        <row r="55">
          <cell r="B55" t="str">
            <v>MKY1</v>
          </cell>
          <cell r="C55" t="str">
            <v>FSAM</v>
          </cell>
          <cell r="D55" t="str">
            <v>QLD</v>
          </cell>
          <cell r="E55" t="str">
            <v>QLD North</v>
          </cell>
          <cell r="F55" t="str">
            <v>Sunil Nair</v>
          </cell>
          <cell r="G55">
            <v>0.95</v>
          </cell>
          <cell r="H55">
            <v>0.1</v>
          </cell>
          <cell r="I55">
            <v>0.185</v>
          </cell>
          <cell r="J55" t="str">
            <v>Gate 3 Submitted</v>
          </cell>
          <cell r="K55" t="str">
            <v>Civil Started</v>
          </cell>
        </row>
        <row r="56">
          <cell r="B56" t="str">
            <v>RIV1</v>
          </cell>
          <cell r="C56" t="str">
            <v>FSAM</v>
          </cell>
          <cell r="D56" t="str">
            <v>NSW</v>
          </cell>
          <cell r="E56" t="str">
            <v>Sydney West</v>
          </cell>
          <cell r="F56" t="str">
            <v>Damien Marov</v>
          </cell>
          <cell r="G56">
            <v>0.95</v>
          </cell>
          <cell r="H56">
            <v>0.1</v>
          </cell>
          <cell r="I56">
            <v>0.185</v>
          </cell>
          <cell r="J56" t="str">
            <v>Gate 3 Submitted</v>
          </cell>
          <cell r="K56" t="str">
            <v>Civil Started</v>
          </cell>
        </row>
        <row r="57">
          <cell r="B57" t="str">
            <v>BLK4</v>
          </cell>
          <cell r="C57" t="str">
            <v>FSAM</v>
          </cell>
          <cell r="D57" t="str">
            <v>NSW</v>
          </cell>
          <cell r="E57" t="str">
            <v>Sydney West</v>
          </cell>
          <cell r="F57" t="str">
            <v>Damien Marov</v>
          </cell>
          <cell r="G57">
            <v>0.95</v>
          </cell>
          <cell r="H57">
            <v>0</v>
          </cell>
          <cell r="I57">
            <v>9.5000000000000001E-2</v>
          </cell>
          <cell r="J57" t="str">
            <v>Gate 3 Submitted</v>
          </cell>
          <cell r="K57" t="str">
            <v>Civil Not Started</v>
          </cell>
        </row>
        <row r="58">
          <cell r="B58" t="str">
            <v>LJT1</v>
          </cell>
          <cell r="C58" t="str">
            <v>FSAM</v>
          </cell>
          <cell r="D58" t="str">
            <v>NSW</v>
          </cell>
          <cell r="E58" t="str">
            <v>Sydney East</v>
          </cell>
          <cell r="F58" t="str">
            <v>Adam Walsh</v>
          </cell>
          <cell r="G58">
            <v>0.95</v>
          </cell>
          <cell r="H58">
            <v>0</v>
          </cell>
          <cell r="I58">
            <v>9.5000000000000001E-2</v>
          </cell>
          <cell r="J58" t="str">
            <v>Gate 3 Submitted</v>
          </cell>
          <cell r="K58" t="str">
            <v>Civil Not Started</v>
          </cell>
        </row>
        <row r="59">
          <cell r="B59" t="str">
            <v>TOB6</v>
          </cell>
          <cell r="C59" t="str">
            <v>FSAM</v>
          </cell>
          <cell r="D59" t="str">
            <v>QLD</v>
          </cell>
          <cell r="E59" t="str">
            <v>QLD South</v>
          </cell>
          <cell r="F59" t="str">
            <v>Alan Bassett</v>
          </cell>
          <cell r="G59">
            <v>0.95</v>
          </cell>
          <cell r="H59">
            <v>0</v>
          </cell>
          <cell r="I59">
            <v>9.5000000000000001E-2</v>
          </cell>
          <cell r="J59" t="str">
            <v>Gate 3 Submitted</v>
          </cell>
          <cell r="K59" t="str">
            <v>Civil Not Started</v>
          </cell>
        </row>
        <row r="60">
          <cell r="B60" t="str">
            <v>BLK3</v>
          </cell>
          <cell r="C60" t="str">
            <v>FSAM</v>
          </cell>
          <cell r="D60" t="str">
            <v>NSW</v>
          </cell>
          <cell r="E60" t="str">
            <v>Sydney West</v>
          </cell>
          <cell r="F60" t="str">
            <v>Damien Marov</v>
          </cell>
          <cell r="G60">
            <v>0.95</v>
          </cell>
          <cell r="H60">
            <v>0</v>
          </cell>
          <cell r="I60">
            <v>9.5000000000000001E-2</v>
          </cell>
          <cell r="J60" t="str">
            <v>Gate 3 Submitted</v>
          </cell>
          <cell r="K60" t="str">
            <v>Civil Not Started</v>
          </cell>
        </row>
        <row r="61">
          <cell r="B61" t="str">
            <v>NDG2</v>
          </cell>
          <cell r="C61" t="str">
            <v>FSAM</v>
          </cell>
          <cell r="D61" t="str">
            <v>QLD</v>
          </cell>
          <cell r="E61" t="str">
            <v>QLD Metro</v>
          </cell>
          <cell r="F61" t="str">
            <v>Jonathan Cogan</v>
          </cell>
          <cell r="G61">
            <v>0.95</v>
          </cell>
          <cell r="H61">
            <v>0</v>
          </cell>
          <cell r="I61">
            <v>9.5000000000000001E-2</v>
          </cell>
          <cell r="J61" t="str">
            <v>Gate 3 Submitted</v>
          </cell>
          <cell r="K61" t="str">
            <v>Civil Not Started</v>
          </cell>
        </row>
        <row r="62">
          <cell r="B62" t="str">
            <v>DAP3</v>
          </cell>
          <cell r="C62" t="str">
            <v>FSAM</v>
          </cell>
          <cell r="D62" t="str">
            <v>NSW</v>
          </cell>
          <cell r="E62" t="str">
            <v>NSW South / ACT</v>
          </cell>
          <cell r="F62" t="str">
            <v>Steven Blewitt</v>
          </cell>
          <cell r="G62">
            <v>0.95</v>
          </cell>
          <cell r="H62">
            <v>0</v>
          </cell>
          <cell r="I62">
            <v>9.5000000000000001E-2</v>
          </cell>
          <cell r="J62" t="str">
            <v>Gate 3 Submitted</v>
          </cell>
          <cell r="K62" t="str">
            <v>Civil Not Started</v>
          </cell>
        </row>
        <row r="63">
          <cell r="B63" t="str">
            <v>DAP4</v>
          </cell>
          <cell r="C63" t="str">
            <v>FSAM</v>
          </cell>
          <cell r="D63" t="str">
            <v>NSW</v>
          </cell>
          <cell r="E63" t="str">
            <v>NSW South / ACT</v>
          </cell>
          <cell r="F63" t="str">
            <v>Steven Blewitt</v>
          </cell>
          <cell r="G63">
            <v>0.95</v>
          </cell>
          <cell r="H63">
            <v>0</v>
          </cell>
          <cell r="I63">
            <v>9.5000000000000001E-2</v>
          </cell>
          <cell r="J63" t="str">
            <v>Gate 3 Submitted</v>
          </cell>
          <cell r="K63" t="str">
            <v>Civil Not Started</v>
          </cell>
        </row>
        <row r="64">
          <cell r="B64" t="str">
            <v>HOM3</v>
          </cell>
          <cell r="C64" t="str">
            <v>FSAM</v>
          </cell>
          <cell r="D64" t="str">
            <v>NSW</v>
          </cell>
          <cell r="E64" t="str">
            <v>Sydney East</v>
          </cell>
          <cell r="F64" t="str">
            <v>Adam Walsh</v>
          </cell>
          <cell r="G64">
            <v>0.95</v>
          </cell>
          <cell r="H64">
            <v>0</v>
          </cell>
          <cell r="I64">
            <v>9.5000000000000001E-2</v>
          </cell>
          <cell r="J64" t="str">
            <v>Gate 3 Submitted</v>
          </cell>
          <cell r="K64" t="str">
            <v>Civil Not Started</v>
          </cell>
        </row>
        <row r="65">
          <cell r="B65" t="str">
            <v>RCH3</v>
          </cell>
          <cell r="C65" t="str">
            <v>FSAM</v>
          </cell>
          <cell r="D65" t="str">
            <v>NSW</v>
          </cell>
          <cell r="E65" t="str">
            <v>Sydney West</v>
          </cell>
          <cell r="F65" t="str">
            <v>Damien Marov</v>
          </cell>
          <cell r="G65">
            <v>0.95</v>
          </cell>
          <cell r="H65">
            <v>0</v>
          </cell>
          <cell r="I65">
            <v>9.5000000000000001E-2</v>
          </cell>
          <cell r="J65" t="str">
            <v>Gate 3 Submitted</v>
          </cell>
          <cell r="K65" t="str">
            <v>Civil Not Started</v>
          </cell>
        </row>
        <row r="66">
          <cell r="B66" t="str">
            <v>RIV3</v>
          </cell>
          <cell r="C66" t="str">
            <v>FSAM</v>
          </cell>
          <cell r="D66" t="str">
            <v>NSW</v>
          </cell>
          <cell r="E66" t="str">
            <v>Sydney West</v>
          </cell>
          <cell r="F66" t="str">
            <v>Damien Marov</v>
          </cell>
          <cell r="G66">
            <v>0.95</v>
          </cell>
          <cell r="H66">
            <v>0</v>
          </cell>
          <cell r="I66">
            <v>9.5000000000000001E-2</v>
          </cell>
          <cell r="J66" t="str">
            <v>Gate 3 Submitted</v>
          </cell>
          <cell r="K66" t="str">
            <v>Civil Not Started</v>
          </cell>
        </row>
        <row r="67">
          <cell r="B67" t="str">
            <v>GDN5</v>
          </cell>
          <cell r="C67" t="str">
            <v>FSAM</v>
          </cell>
          <cell r="D67" t="str">
            <v>QLD</v>
          </cell>
          <cell r="E67" t="str">
            <v>QLD Metro</v>
          </cell>
          <cell r="F67" t="str">
            <v>Jonathan Cogan</v>
          </cell>
          <cell r="G67">
            <v>0.95</v>
          </cell>
          <cell r="H67">
            <v>0</v>
          </cell>
          <cell r="I67">
            <v>9.5000000000000001E-2</v>
          </cell>
          <cell r="J67" t="str">
            <v>Gate 3 Submitted</v>
          </cell>
          <cell r="K67" t="str">
            <v>Civil Not Started</v>
          </cell>
        </row>
        <row r="68">
          <cell r="B68" t="str">
            <v>PTH5</v>
          </cell>
          <cell r="C68" t="str">
            <v>FSAM</v>
          </cell>
          <cell r="D68" t="str">
            <v>NSW</v>
          </cell>
          <cell r="E68" t="str">
            <v>Sydney West</v>
          </cell>
          <cell r="F68" t="str">
            <v>Damien Marov</v>
          </cell>
          <cell r="G68">
            <v>0.95</v>
          </cell>
          <cell r="H68">
            <v>0</v>
          </cell>
          <cell r="I68">
            <v>9.5000000000000001E-2</v>
          </cell>
          <cell r="J68" t="str">
            <v>Gate 3 Submitted</v>
          </cell>
          <cell r="K68" t="str">
            <v>Civil Not Started</v>
          </cell>
        </row>
        <row r="69">
          <cell r="B69" t="str">
            <v>PTH6</v>
          </cell>
          <cell r="C69" t="str">
            <v>FSAM</v>
          </cell>
          <cell r="D69" t="str">
            <v>NSW</v>
          </cell>
          <cell r="E69" t="str">
            <v>Sydney West</v>
          </cell>
          <cell r="F69" t="str">
            <v>Damien Marov</v>
          </cell>
          <cell r="G69">
            <v>0.95</v>
          </cell>
          <cell r="H69">
            <v>0</v>
          </cell>
          <cell r="I69">
            <v>9.5000000000000001E-2</v>
          </cell>
          <cell r="J69" t="str">
            <v>Gate 3 Submitted</v>
          </cell>
          <cell r="K69" t="str">
            <v>Civil Not Started</v>
          </cell>
        </row>
        <row r="70">
          <cell r="B70" t="str">
            <v>RIV4</v>
          </cell>
          <cell r="C70" t="str">
            <v>FSAM</v>
          </cell>
          <cell r="D70" t="str">
            <v>NSW</v>
          </cell>
          <cell r="E70" t="str">
            <v>Sydney West</v>
          </cell>
          <cell r="F70" t="str">
            <v>Damien Marov</v>
          </cell>
          <cell r="G70">
            <v>0.95</v>
          </cell>
          <cell r="H70">
            <v>0</v>
          </cell>
          <cell r="I70">
            <v>9.5000000000000001E-2</v>
          </cell>
          <cell r="J70" t="str">
            <v>Gate 3 Submitted</v>
          </cell>
          <cell r="K70" t="str">
            <v>Civil Not Started</v>
          </cell>
        </row>
        <row r="71">
          <cell r="B71" t="str">
            <v>COR11</v>
          </cell>
          <cell r="C71" t="str">
            <v>FSAM</v>
          </cell>
          <cell r="D71" t="str">
            <v>NSW</v>
          </cell>
          <cell r="E71" t="str">
            <v>NSW South / ACT</v>
          </cell>
          <cell r="F71" t="str">
            <v>Steven Blewitt</v>
          </cell>
          <cell r="G71">
            <v>0.95</v>
          </cell>
          <cell r="H71">
            <v>0</v>
          </cell>
          <cell r="I71">
            <v>9.5000000000000001E-2</v>
          </cell>
          <cell r="J71" t="str">
            <v>Gate 3 Submitted</v>
          </cell>
          <cell r="K71" t="str">
            <v>Civil Not Started</v>
          </cell>
        </row>
        <row r="72">
          <cell r="B72" t="str">
            <v>RCH5</v>
          </cell>
          <cell r="C72" t="str">
            <v>FSAM</v>
          </cell>
          <cell r="D72" t="str">
            <v>NSW</v>
          </cell>
          <cell r="E72" t="str">
            <v>Sydney West</v>
          </cell>
          <cell r="F72" t="str">
            <v>Damien Marov</v>
          </cell>
          <cell r="G72">
            <v>0.95</v>
          </cell>
          <cell r="H72">
            <v>0</v>
          </cell>
          <cell r="I72">
            <v>9.5000000000000001E-2</v>
          </cell>
          <cell r="J72" t="str">
            <v>Gate 3 Submitted</v>
          </cell>
          <cell r="K72" t="str">
            <v>Civil Not Started</v>
          </cell>
        </row>
        <row r="73">
          <cell r="B73" t="str">
            <v>RCH6</v>
          </cell>
          <cell r="C73" t="str">
            <v>FSAM</v>
          </cell>
          <cell r="D73" t="str">
            <v>NSW</v>
          </cell>
          <cell r="E73" t="str">
            <v>Sydney West</v>
          </cell>
          <cell r="F73" t="str">
            <v>Damien Marov</v>
          </cell>
          <cell r="G73">
            <v>0.95</v>
          </cell>
          <cell r="H73">
            <v>0</v>
          </cell>
          <cell r="I73">
            <v>9.5000000000000001E-2</v>
          </cell>
          <cell r="J73" t="str">
            <v>Gate 3 Submitted</v>
          </cell>
          <cell r="K73" t="str">
            <v>Civil Not Started</v>
          </cell>
        </row>
        <row r="74">
          <cell r="B74" t="str">
            <v>GDN6</v>
          </cell>
          <cell r="C74" t="str">
            <v>FSAM</v>
          </cell>
          <cell r="D74" t="str">
            <v>QLD</v>
          </cell>
          <cell r="E74" t="str">
            <v>QLD Metro</v>
          </cell>
          <cell r="F74" t="str">
            <v>Jonathan Cogan</v>
          </cell>
          <cell r="G74">
            <v>0.95</v>
          </cell>
          <cell r="H74">
            <v>0</v>
          </cell>
          <cell r="I74">
            <v>9.5000000000000001E-2</v>
          </cell>
          <cell r="J74" t="str">
            <v>Gate 3 Submitted</v>
          </cell>
          <cell r="K74" t="str">
            <v>Civil Not Started</v>
          </cell>
        </row>
        <row r="75">
          <cell r="B75" t="str">
            <v>WLG2</v>
          </cell>
          <cell r="C75" t="str">
            <v>FSAM</v>
          </cell>
          <cell r="D75" t="str">
            <v>NSW</v>
          </cell>
          <cell r="E75" t="str">
            <v>NSW South / ACT</v>
          </cell>
          <cell r="F75" t="str">
            <v>Steven Blewitt</v>
          </cell>
          <cell r="G75">
            <v>0.95</v>
          </cell>
          <cell r="H75">
            <v>0</v>
          </cell>
          <cell r="I75">
            <v>9.5000000000000001E-2</v>
          </cell>
          <cell r="J75" t="str">
            <v>Gate 3 Submitted</v>
          </cell>
          <cell r="K75" t="str">
            <v>Civil Not Started</v>
          </cell>
        </row>
        <row r="76">
          <cell r="B76" t="str">
            <v>RCH1</v>
          </cell>
          <cell r="C76" t="str">
            <v>FSAM</v>
          </cell>
          <cell r="D76" t="str">
            <v>NSW</v>
          </cell>
          <cell r="E76" t="str">
            <v>Sydney West</v>
          </cell>
          <cell r="F76" t="str">
            <v>Damien Marov</v>
          </cell>
          <cell r="G76">
            <v>0.95</v>
          </cell>
          <cell r="H76">
            <v>0</v>
          </cell>
          <cell r="I76">
            <v>9.5000000000000001E-2</v>
          </cell>
          <cell r="J76" t="str">
            <v>Gate 3 Submitted</v>
          </cell>
          <cell r="K76" t="str">
            <v>Civil Not Started</v>
          </cell>
        </row>
        <row r="77">
          <cell r="B77" t="str">
            <v>LID3</v>
          </cell>
          <cell r="C77" t="str">
            <v>FSAM</v>
          </cell>
          <cell r="D77" t="str">
            <v>NSW</v>
          </cell>
          <cell r="E77" t="str">
            <v>Sydney East</v>
          </cell>
          <cell r="F77" t="str">
            <v>Adam Walsh</v>
          </cell>
          <cell r="G77">
            <v>0.95</v>
          </cell>
          <cell r="H77">
            <v>0</v>
          </cell>
          <cell r="I77">
            <v>9.5000000000000001E-2</v>
          </cell>
          <cell r="J77" t="str">
            <v>Gate 3 Submitted</v>
          </cell>
          <cell r="K77" t="str">
            <v>Civil Not Started</v>
          </cell>
        </row>
        <row r="78">
          <cell r="B78" t="str">
            <v>LJT3</v>
          </cell>
          <cell r="C78" t="str">
            <v>FSAM</v>
          </cell>
          <cell r="D78" t="str">
            <v>NSW</v>
          </cell>
          <cell r="E78" t="str">
            <v>Sydney East</v>
          </cell>
          <cell r="F78" t="str">
            <v>Adam Walsh</v>
          </cell>
          <cell r="G78">
            <v>0.95</v>
          </cell>
          <cell r="H78">
            <v>0</v>
          </cell>
          <cell r="I78">
            <v>9.5000000000000001E-2</v>
          </cell>
          <cell r="J78" t="str">
            <v>Gate 3 Submitted</v>
          </cell>
          <cell r="K78" t="str">
            <v>Civil Not Started</v>
          </cell>
        </row>
        <row r="79">
          <cell r="B79" t="str">
            <v>TOB5</v>
          </cell>
          <cell r="C79" t="str">
            <v>FSAM</v>
          </cell>
          <cell r="D79" t="str">
            <v>QLD</v>
          </cell>
          <cell r="E79" t="str">
            <v>QLD South</v>
          </cell>
          <cell r="F79" t="str">
            <v>Alan Bassett</v>
          </cell>
          <cell r="G79">
            <v>0.95</v>
          </cell>
          <cell r="H79">
            <v>0</v>
          </cell>
          <cell r="I79">
            <v>9.5000000000000001E-2</v>
          </cell>
          <cell r="J79" t="str">
            <v>Gate 3 Submitted</v>
          </cell>
          <cell r="K79" t="str">
            <v>Civil Not Started</v>
          </cell>
        </row>
        <row r="80">
          <cell r="B80" t="str">
            <v>CFS7</v>
          </cell>
          <cell r="C80" t="str">
            <v>FSAM</v>
          </cell>
          <cell r="D80" t="str">
            <v>NSW</v>
          </cell>
          <cell r="E80" t="str">
            <v>NSW North</v>
          </cell>
          <cell r="F80" t="str">
            <v>James Herden</v>
          </cell>
          <cell r="G80">
            <v>0.95</v>
          </cell>
          <cell r="H80">
            <v>0</v>
          </cell>
          <cell r="I80">
            <v>9.5000000000000001E-2</v>
          </cell>
          <cell r="J80" t="str">
            <v>Gate 3 Submitted</v>
          </cell>
          <cell r="K80" t="str">
            <v>Civil Not Started</v>
          </cell>
        </row>
        <row r="81">
          <cell r="B81" t="str">
            <v>DAP2</v>
          </cell>
          <cell r="C81" t="str">
            <v>FSAM</v>
          </cell>
          <cell r="D81" t="str">
            <v>NSW</v>
          </cell>
          <cell r="E81" t="str">
            <v>NSW South / ACT</v>
          </cell>
          <cell r="F81" t="str">
            <v>Steven Blewitt</v>
          </cell>
          <cell r="G81">
            <v>0.95</v>
          </cell>
          <cell r="H81">
            <v>0</v>
          </cell>
          <cell r="I81">
            <v>9.5000000000000001E-2</v>
          </cell>
          <cell r="J81" t="str">
            <v>Gate 3 Submitted</v>
          </cell>
          <cell r="K81" t="str">
            <v>Civil Not Started</v>
          </cell>
        </row>
        <row r="82">
          <cell r="B82" t="str">
            <v>GOS4</v>
          </cell>
          <cell r="C82" t="str">
            <v>FSAM</v>
          </cell>
          <cell r="D82" t="str">
            <v>NSW</v>
          </cell>
          <cell r="E82" t="str">
            <v>Sydney East</v>
          </cell>
          <cell r="F82" t="str">
            <v>Adam Walsh</v>
          </cell>
          <cell r="G82">
            <v>0.95</v>
          </cell>
          <cell r="H82">
            <v>0</v>
          </cell>
          <cell r="I82">
            <v>9.5000000000000001E-2</v>
          </cell>
          <cell r="J82" t="str">
            <v>Gate 3 Submitted</v>
          </cell>
          <cell r="K82" t="str">
            <v>Civil Not Started</v>
          </cell>
        </row>
        <row r="83">
          <cell r="B83" t="str">
            <v>LID4</v>
          </cell>
          <cell r="C83" t="str">
            <v>FSAM</v>
          </cell>
          <cell r="D83" t="str">
            <v>NSW</v>
          </cell>
          <cell r="E83" t="str">
            <v>Sydney East</v>
          </cell>
          <cell r="F83" t="str">
            <v>Adam Walsh</v>
          </cell>
          <cell r="G83">
            <v>0.95</v>
          </cell>
          <cell r="H83">
            <v>0</v>
          </cell>
          <cell r="I83">
            <v>9.5000000000000001E-2</v>
          </cell>
          <cell r="J83" t="str">
            <v>Gate 3 Submitted</v>
          </cell>
          <cell r="K83" t="str">
            <v>Civil Not Started</v>
          </cell>
        </row>
        <row r="84">
          <cell r="B84" t="str">
            <v>LJT2</v>
          </cell>
          <cell r="C84" t="str">
            <v>FSAM</v>
          </cell>
          <cell r="D84" t="str">
            <v>NSW</v>
          </cell>
          <cell r="E84" t="str">
            <v>Sydney East</v>
          </cell>
          <cell r="F84" t="str">
            <v>Adam Walsh</v>
          </cell>
          <cell r="G84">
            <v>0.95</v>
          </cell>
          <cell r="H84">
            <v>0</v>
          </cell>
          <cell r="I84">
            <v>9.5000000000000001E-2</v>
          </cell>
          <cell r="J84" t="str">
            <v>Gate 3 Submitted</v>
          </cell>
          <cell r="K84" t="str">
            <v>Civil Not Started</v>
          </cell>
        </row>
        <row r="85">
          <cell r="B85" t="str">
            <v>WLG1</v>
          </cell>
          <cell r="C85" t="str">
            <v>FSAM</v>
          </cell>
          <cell r="D85" t="str">
            <v>NSW</v>
          </cell>
          <cell r="E85" t="str">
            <v>NSW South / ACT</v>
          </cell>
          <cell r="F85" t="str">
            <v>Steven Blewitt</v>
          </cell>
          <cell r="G85">
            <v>0.95</v>
          </cell>
          <cell r="H85">
            <v>0</v>
          </cell>
          <cell r="I85">
            <v>9.5000000000000001E-2</v>
          </cell>
          <cell r="J85" t="str">
            <v>Gate 3 Submitted</v>
          </cell>
          <cell r="K85" t="str">
            <v>Civil Not Started</v>
          </cell>
        </row>
        <row r="86">
          <cell r="B86" t="str">
            <v>NDG1</v>
          </cell>
          <cell r="C86" t="str">
            <v>FSAM</v>
          </cell>
          <cell r="D86" t="str">
            <v>QLD</v>
          </cell>
          <cell r="E86" t="str">
            <v>QLD Metro</v>
          </cell>
          <cell r="F86" t="str">
            <v>Jonathan Cogan</v>
          </cell>
          <cell r="G86">
            <v>0.95</v>
          </cell>
          <cell r="H86">
            <v>0</v>
          </cell>
          <cell r="I86">
            <v>9.5000000000000001E-2</v>
          </cell>
          <cell r="J86" t="str">
            <v>Gate 3 Submitted</v>
          </cell>
          <cell r="K86" t="str">
            <v>Civil Not Started</v>
          </cell>
        </row>
        <row r="87">
          <cell r="B87" t="str">
            <v>CFS4</v>
          </cell>
          <cell r="C87" t="str">
            <v>FSAM</v>
          </cell>
          <cell r="D87" t="str">
            <v>NSW</v>
          </cell>
          <cell r="E87" t="str">
            <v>NSW North</v>
          </cell>
          <cell r="F87" t="str">
            <v>James Herden</v>
          </cell>
          <cell r="G87">
            <v>0.95</v>
          </cell>
          <cell r="H87">
            <v>0</v>
          </cell>
          <cell r="I87">
            <v>9.5000000000000001E-2</v>
          </cell>
          <cell r="J87" t="str">
            <v>Gate 3 Submitted</v>
          </cell>
          <cell r="K87" t="str">
            <v>Civil Not Started</v>
          </cell>
        </row>
        <row r="88">
          <cell r="B88" t="str">
            <v>TEE2</v>
          </cell>
          <cell r="C88" t="str">
            <v>FSAM</v>
          </cell>
          <cell r="D88" t="str">
            <v>NSW</v>
          </cell>
          <cell r="E88" t="str">
            <v>NSW North</v>
          </cell>
          <cell r="F88" t="str">
            <v>James Herden</v>
          </cell>
          <cell r="G88">
            <v>0.95</v>
          </cell>
          <cell r="H88">
            <v>0</v>
          </cell>
          <cell r="I88">
            <v>9.5000000000000001E-2</v>
          </cell>
          <cell r="J88" t="str">
            <v>Gate 3 Submitted</v>
          </cell>
          <cell r="K88" t="str">
            <v>Civil Not Started</v>
          </cell>
        </row>
        <row r="89">
          <cell r="B89" t="str">
            <v>TEE3</v>
          </cell>
          <cell r="C89" t="str">
            <v>FSAM</v>
          </cell>
          <cell r="D89" t="str">
            <v>NSW</v>
          </cell>
          <cell r="E89" t="str">
            <v>NSW North</v>
          </cell>
          <cell r="F89" t="str">
            <v>James Herden</v>
          </cell>
          <cell r="G89">
            <v>0.95</v>
          </cell>
          <cell r="H89">
            <v>0</v>
          </cell>
          <cell r="I89">
            <v>9.5000000000000001E-2</v>
          </cell>
          <cell r="J89" t="str">
            <v>Gate 3 Submitted</v>
          </cell>
          <cell r="K89" t="str">
            <v>Civil Not Started</v>
          </cell>
        </row>
        <row r="90">
          <cell r="B90" t="str">
            <v>TEE4</v>
          </cell>
          <cell r="C90" t="str">
            <v>FSAM</v>
          </cell>
          <cell r="D90" t="str">
            <v>NSW</v>
          </cell>
          <cell r="E90" t="str">
            <v>NSW North</v>
          </cell>
          <cell r="F90" t="str">
            <v>James Herden</v>
          </cell>
          <cell r="G90">
            <v>0.95</v>
          </cell>
          <cell r="H90">
            <v>0</v>
          </cell>
          <cell r="I90">
            <v>9.5000000000000001E-2</v>
          </cell>
          <cell r="J90" t="str">
            <v>Gate 3 Submitted</v>
          </cell>
          <cell r="K90" t="str">
            <v>Civil Not Started</v>
          </cell>
        </row>
        <row r="91">
          <cell r="B91" t="str">
            <v>BLK2</v>
          </cell>
          <cell r="C91" t="str">
            <v>FSAM</v>
          </cell>
          <cell r="D91" t="str">
            <v>NSW</v>
          </cell>
          <cell r="E91" t="str">
            <v>Sydney West</v>
          </cell>
          <cell r="F91" t="str">
            <v>Damien Marov</v>
          </cell>
          <cell r="G91">
            <v>0.95</v>
          </cell>
          <cell r="H91">
            <v>0</v>
          </cell>
          <cell r="I91">
            <v>9.5000000000000001E-2</v>
          </cell>
          <cell r="J91" t="str">
            <v>Gate 3 Submitted</v>
          </cell>
          <cell r="K91" t="str">
            <v>Civil Not Started</v>
          </cell>
        </row>
        <row r="92">
          <cell r="B92" t="str">
            <v>BLK5</v>
          </cell>
          <cell r="C92" t="str">
            <v>FSAM</v>
          </cell>
          <cell r="D92" t="str">
            <v>NSW</v>
          </cell>
          <cell r="E92" t="str">
            <v>Sydney West</v>
          </cell>
          <cell r="F92" t="str">
            <v>Damien Marov</v>
          </cell>
          <cell r="G92">
            <v>0.95</v>
          </cell>
          <cell r="H92">
            <v>0</v>
          </cell>
          <cell r="I92">
            <v>9.5000000000000001E-2</v>
          </cell>
          <cell r="J92" t="str">
            <v>Gate 3 Submitted</v>
          </cell>
          <cell r="K92" t="str">
            <v>Civil Not Started</v>
          </cell>
        </row>
        <row r="93">
          <cell r="B93" t="str">
            <v>BLK6</v>
          </cell>
          <cell r="C93" t="str">
            <v>FSAM</v>
          </cell>
          <cell r="D93" t="str">
            <v>NSW</v>
          </cell>
          <cell r="E93" t="str">
            <v>Sydney West</v>
          </cell>
          <cell r="F93" t="str">
            <v>Damien Marov</v>
          </cell>
          <cell r="G93">
            <v>0.95</v>
          </cell>
          <cell r="H93">
            <v>0</v>
          </cell>
          <cell r="I93">
            <v>9.5000000000000001E-2</v>
          </cell>
          <cell r="J93" t="str">
            <v>Gate 3 Submitted</v>
          </cell>
          <cell r="K93" t="str">
            <v>Civil Not Started</v>
          </cell>
        </row>
        <row r="94">
          <cell r="B94" t="str">
            <v>GOS6</v>
          </cell>
          <cell r="C94" t="str">
            <v>FSAM</v>
          </cell>
          <cell r="D94" t="str">
            <v>NSW</v>
          </cell>
          <cell r="E94" t="str">
            <v>Sydney East</v>
          </cell>
          <cell r="F94" t="str">
            <v>Adam Walsh</v>
          </cell>
          <cell r="G94">
            <v>0.95</v>
          </cell>
          <cell r="H94">
            <v>0</v>
          </cell>
          <cell r="I94">
            <v>9.5000000000000001E-2</v>
          </cell>
          <cell r="J94" t="str">
            <v>Gate 3 Submitted</v>
          </cell>
          <cell r="K94" t="str">
            <v>Civil Not Started</v>
          </cell>
        </row>
        <row r="95">
          <cell r="B95" t="str">
            <v>GOS7</v>
          </cell>
          <cell r="C95" t="str">
            <v>FSAM</v>
          </cell>
          <cell r="D95" t="str">
            <v>NSW</v>
          </cell>
          <cell r="E95" t="str">
            <v>Sydney East</v>
          </cell>
          <cell r="F95" t="str">
            <v>Adam Walsh</v>
          </cell>
          <cell r="G95">
            <v>0.95</v>
          </cell>
          <cell r="H95">
            <v>0</v>
          </cell>
          <cell r="I95">
            <v>9.5000000000000001E-2</v>
          </cell>
          <cell r="J95" t="str">
            <v>Gate 3 Submitted</v>
          </cell>
          <cell r="K95" t="str">
            <v>Civil Not Started</v>
          </cell>
        </row>
        <row r="96">
          <cell r="B96" t="str">
            <v>LID5</v>
          </cell>
          <cell r="C96" t="str">
            <v>FSAM</v>
          </cell>
          <cell r="D96" t="str">
            <v>NSW</v>
          </cell>
          <cell r="E96" t="str">
            <v>Sydney East</v>
          </cell>
          <cell r="F96" t="str">
            <v>Adam Walsh</v>
          </cell>
          <cell r="G96">
            <v>0.95</v>
          </cell>
          <cell r="H96">
            <v>0</v>
          </cell>
          <cell r="I96">
            <v>9.5000000000000001E-2</v>
          </cell>
          <cell r="J96" t="str">
            <v>Gate 3 Submitted</v>
          </cell>
          <cell r="K96" t="str">
            <v>Civil Not Started</v>
          </cell>
        </row>
        <row r="97">
          <cell r="B97" t="str">
            <v>LJT7</v>
          </cell>
          <cell r="C97" t="str">
            <v>FSAM</v>
          </cell>
          <cell r="D97" t="str">
            <v>NSW</v>
          </cell>
          <cell r="E97" t="str">
            <v>Sydney East</v>
          </cell>
          <cell r="F97" t="str">
            <v>Adam Walsh</v>
          </cell>
          <cell r="G97">
            <v>0.95</v>
          </cell>
          <cell r="H97">
            <v>0</v>
          </cell>
          <cell r="I97">
            <v>9.5000000000000001E-2</v>
          </cell>
          <cell r="J97" t="str">
            <v>Gate 3 Submitted</v>
          </cell>
          <cell r="K97" t="str">
            <v>Civil Not Started</v>
          </cell>
        </row>
        <row r="98">
          <cell r="B98" t="str">
            <v>PTH3</v>
          </cell>
          <cell r="C98" t="str">
            <v>FSAM</v>
          </cell>
          <cell r="D98" t="str">
            <v>NSW</v>
          </cell>
          <cell r="E98" t="str">
            <v>Sydney West</v>
          </cell>
          <cell r="F98" t="str">
            <v>Damien Marov</v>
          </cell>
          <cell r="G98">
            <v>0.95</v>
          </cell>
          <cell r="H98">
            <v>0</v>
          </cell>
          <cell r="I98">
            <v>9.5000000000000001E-2</v>
          </cell>
          <cell r="J98" t="str">
            <v>Gate 3 Submitted</v>
          </cell>
          <cell r="K98" t="str">
            <v>Civil Not Started</v>
          </cell>
        </row>
        <row r="99">
          <cell r="B99" t="str">
            <v>PTH4</v>
          </cell>
          <cell r="C99" t="str">
            <v>FSAM</v>
          </cell>
          <cell r="D99" t="str">
            <v>NSW</v>
          </cell>
          <cell r="E99" t="str">
            <v>Sydney West</v>
          </cell>
          <cell r="F99" t="str">
            <v>Damien Marov</v>
          </cell>
          <cell r="G99">
            <v>0.95</v>
          </cell>
          <cell r="H99">
            <v>0</v>
          </cell>
          <cell r="I99">
            <v>9.5000000000000001E-2</v>
          </cell>
          <cell r="J99" t="str">
            <v>Gate 3 Submitted</v>
          </cell>
          <cell r="K99" t="str">
            <v>Civil Not Started</v>
          </cell>
        </row>
        <row r="100">
          <cell r="B100" t="str">
            <v>RIV2</v>
          </cell>
          <cell r="C100" t="str">
            <v>FSAM</v>
          </cell>
          <cell r="D100" t="str">
            <v>NSW</v>
          </cell>
          <cell r="E100" t="str">
            <v>Sydney West</v>
          </cell>
          <cell r="F100" t="str">
            <v>Damien Marov</v>
          </cell>
          <cell r="G100">
            <v>0.95</v>
          </cell>
          <cell r="H100">
            <v>0</v>
          </cell>
          <cell r="I100">
            <v>9.5000000000000001E-2</v>
          </cell>
          <cell r="J100" t="str">
            <v>Gate 3 Submitted</v>
          </cell>
          <cell r="K100" t="str">
            <v>Civil Not Started</v>
          </cell>
        </row>
        <row r="101">
          <cell r="B101" t="str">
            <v>SAW4</v>
          </cell>
          <cell r="C101" t="str">
            <v>FSAM</v>
          </cell>
          <cell r="D101" t="str">
            <v>NSW</v>
          </cell>
          <cell r="E101" t="str">
            <v>NSW North</v>
          </cell>
          <cell r="F101" t="str">
            <v>James Herden</v>
          </cell>
          <cell r="G101">
            <v>0.95</v>
          </cell>
          <cell r="H101">
            <v>0</v>
          </cell>
          <cell r="I101">
            <v>9.5000000000000001E-2</v>
          </cell>
          <cell r="J101" t="str">
            <v>Gate 3 Submitted</v>
          </cell>
          <cell r="K101" t="str">
            <v>Civil Not Started</v>
          </cell>
        </row>
        <row r="102">
          <cell r="B102" t="str">
            <v>WLG4</v>
          </cell>
          <cell r="C102" t="str">
            <v>FSAM</v>
          </cell>
          <cell r="D102" t="str">
            <v>NSW</v>
          </cell>
          <cell r="E102" t="str">
            <v>NSW South / ACT</v>
          </cell>
          <cell r="F102" t="str">
            <v>Steven Blewitt</v>
          </cell>
          <cell r="G102">
            <v>0.95</v>
          </cell>
          <cell r="H102">
            <v>0</v>
          </cell>
          <cell r="I102">
            <v>9.5000000000000001E-2</v>
          </cell>
          <cell r="J102" t="str">
            <v>Gate 3 Submitted</v>
          </cell>
          <cell r="K102" t="str">
            <v>Civil Not Started</v>
          </cell>
        </row>
        <row r="103">
          <cell r="B103" t="str">
            <v>CAI2</v>
          </cell>
          <cell r="C103" t="str">
            <v>FSAM</v>
          </cell>
          <cell r="D103" t="str">
            <v>QLD</v>
          </cell>
          <cell r="E103" t="str">
            <v>QLD North</v>
          </cell>
          <cell r="F103" t="str">
            <v>Sunil Nair</v>
          </cell>
          <cell r="G103">
            <v>0.95</v>
          </cell>
          <cell r="H103">
            <v>0</v>
          </cell>
          <cell r="I103">
            <v>9.5000000000000001E-2</v>
          </cell>
          <cell r="J103" t="str">
            <v>Gate 3 Submitted</v>
          </cell>
          <cell r="K103" t="str">
            <v>Civil Not Started</v>
          </cell>
        </row>
        <row r="104">
          <cell r="B104" t="str">
            <v>CAI3</v>
          </cell>
          <cell r="C104" t="str">
            <v>FSAM</v>
          </cell>
          <cell r="D104" t="str">
            <v>QLD</v>
          </cell>
          <cell r="E104" t="str">
            <v>QLD North</v>
          </cell>
          <cell r="F104" t="str">
            <v>Sunil Nair</v>
          </cell>
          <cell r="G104">
            <v>0.95</v>
          </cell>
          <cell r="H104">
            <v>0</v>
          </cell>
          <cell r="I104">
            <v>9.5000000000000001E-2</v>
          </cell>
          <cell r="J104" t="str">
            <v>Gate 3 Submitted</v>
          </cell>
          <cell r="K104" t="str">
            <v>Civil Not Started</v>
          </cell>
        </row>
        <row r="105">
          <cell r="B105" t="str">
            <v>GUL6</v>
          </cell>
          <cell r="C105" t="str">
            <v>FSAM</v>
          </cell>
          <cell r="D105" t="str">
            <v>QLD</v>
          </cell>
          <cell r="E105" t="str">
            <v>QLD North</v>
          </cell>
          <cell r="F105" t="str">
            <v>Sunil Nair</v>
          </cell>
          <cell r="G105">
            <v>0.95</v>
          </cell>
          <cell r="H105">
            <v>0</v>
          </cell>
          <cell r="I105">
            <v>9.5000000000000001E-2</v>
          </cell>
          <cell r="J105" t="str">
            <v>Gate 3 Submitted</v>
          </cell>
          <cell r="K105" t="str">
            <v>Civil Not Started</v>
          </cell>
        </row>
        <row r="106">
          <cell r="B106" t="str">
            <v>IPS2</v>
          </cell>
          <cell r="C106" t="str">
            <v>FSAM</v>
          </cell>
          <cell r="D106" t="str">
            <v>QLD</v>
          </cell>
          <cell r="E106" t="str">
            <v>QLD South</v>
          </cell>
          <cell r="F106" t="str">
            <v>Alan Bassett</v>
          </cell>
          <cell r="G106">
            <v>0.95</v>
          </cell>
          <cell r="H106">
            <v>0</v>
          </cell>
          <cell r="I106">
            <v>9.5000000000000001E-2</v>
          </cell>
          <cell r="J106" t="str">
            <v>Gate 3 Submitted</v>
          </cell>
          <cell r="K106" t="str">
            <v>Civil Not Started</v>
          </cell>
        </row>
        <row r="107">
          <cell r="B107" t="str">
            <v>KLG1</v>
          </cell>
          <cell r="C107" t="str">
            <v>FSAM</v>
          </cell>
          <cell r="D107" t="str">
            <v>QLD</v>
          </cell>
          <cell r="E107" t="str">
            <v>QLD Metro</v>
          </cell>
          <cell r="F107" t="str">
            <v>Jonathan Cogan</v>
          </cell>
          <cell r="G107">
            <v>0.95</v>
          </cell>
          <cell r="H107">
            <v>0</v>
          </cell>
          <cell r="I107">
            <v>9.5000000000000001E-2</v>
          </cell>
          <cell r="J107" t="str">
            <v>Gate 3 Submitted</v>
          </cell>
          <cell r="K107" t="str">
            <v>Civil Not Started</v>
          </cell>
        </row>
        <row r="108">
          <cell r="B108" t="str">
            <v>MKY2</v>
          </cell>
          <cell r="C108" t="str">
            <v>FSAM</v>
          </cell>
          <cell r="D108" t="str">
            <v>QLD</v>
          </cell>
          <cell r="E108" t="str">
            <v>QLD North</v>
          </cell>
          <cell r="F108" t="str">
            <v>Sunil Nair</v>
          </cell>
          <cell r="G108">
            <v>0.95</v>
          </cell>
          <cell r="H108">
            <v>0</v>
          </cell>
          <cell r="I108">
            <v>9.5000000000000001E-2</v>
          </cell>
          <cell r="J108" t="str">
            <v>Gate 3 Submitted</v>
          </cell>
          <cell r="K108" t="str">
            <v>Civil Not Started</v>
          </cell>
        </row>
        <row r="109">
          <cell r="B109" t="str">
            <v>MKY3</v>
          </cell>
          <cell r="C109" t="str">
            <v>FSAM</v>
          </cell>
          <cell r="D109" t="str">
            <v>QLD</v>
          </cell>
          <cell r="E109" t="str">
            <v>QLD North</v>
          </cell>
          <cell r="F109" t="str">
            <v>Sunil Nair</v>
          </cell>
          <cell r="G109">
            <v>0.95</v>
          </cell>
          <cell r="H109">
            <v>0</v>
          </cell>
          <cell r="I109">
            <v>9.5000000000000001E-2</v>
          </cell>
          <cell r="J109" t="str">
            <v>Gate 3 Submitted</v>
          </cell>
          <cell r="K109" t="str">
            <v>Civil Not Started</v>
          </cell>
        </row>
        <row r="110">
          <cell r="B110" t="str">
            <v>NDG3</v>
          </cell>
          <cell r="C110" t="str">
            <v>FSAM</v>
          </cell>
          <cell r="D110" t="str">
            <v>QLD</v>
          </cell>
          <cell r="E110" t="str">
            <v>QLD Metro</v>
          </cell>
          <cell r="F110" t="str">
            <v>Jonathan Cogan</v>
          </cell>
          <cell r="G110">
            <v>0.95</v>
          </cell>
          <cell r="H110">
            <v>0</v>
          </cell>
          <cell r="I110">
            <v>9.5000000000000001E-2</v>
          </cell>
          <cell r="J110" t="str">
            <v>Gate 3 Submitted</v>
          </cell>
          <cell r="K110" t="str">
            <v>Civil Not Started</v>
          </cell>
        </row>
        <row r="111">
          <cell r="B111" t="str">
            <v>TNS4</v>
          </cell>
          <cell r="C111" t="str">
            <v>FSAM</v>
          </cell>
          <cell r="D111" t="str">
            <v>QLD</v>
          </cell>
          <cell r="E111" t="str">
            <v>QLD North</v>
          </cell>
          <cell r="F111" t="str">
            <v>Sunil Nair</v>
          </cell>
          <cell r="G111">
            <v>0.95</v>
          </cell>
          <cell r="H111">
            <v>0</v>
          </cell>
          <cell r="I111">
            <v>9.5000000000000001E-2</v>
          </cell>
          <cell r="J111" t="str">
            <v>Gate 3 Submitted</v>
          </cell>
          <cell r="K111" t="str">
            <v>Civil Not Started</v>
          </cell>
        </row>
        <row r="112">
          <cell r="B112" t="str">
            <v>TNS6</v>
          </cell>
          <cell r="C112" t="str">
            <v>FSAM</v>
          </cell>
          <cell r="D112" t="str">
            <v>QLD</v>
          </cell>
          <cell r="E112" t="str">
            <v>QLD North</v>
          </cell>
          <cell r="F112" t="str">
            <v>Sunil Nair</v>
          </cell>
          <cell r="G112">
            <v>0.95</v>
          </cell>
          <cell r="H112">
            <v>0</v>
          </cell>
          <cell r="I112">
            <v>9.5000000000000001E-2</v>
          </cell>
          <cell r="J112" t="str">
            <v>Gate 3 Submitted</v>
          </cell>
          <cell r="K112" t="str">
            <v>Civil Not Started</v>
          </cell>
        </row>
        <row r="113">
          <cell r="B113" t="str">
            <v>DAP5</v>
          </cell>
          <cell r="C113" t="str">
            <v>FSAM</v>
          </cell>
          <cell r="D113" t="str">
            <v>NSW</v>
          </cell>
          <cell r="E113" t="str">
            <v>NSW South / ACT</v>
          </cell>
          <cell r="F113" t="str">
            <v>Steven Blewitt</v>
          </cell>
          <cell r="G113">
            <v>0.9</v>
          </cell>
          <cell r="H113">
            <v>0</v>
          </cell>
          <cell r="I113">
            <v>9.0000000000000011E-2</v>
          </cell>
          <cell r="J113" t="str">
            <v>Gate 2 Submitted</v>
          </cell>
          <cell r="K113" t="str">
            <v>Civil Not Started</v>
          </cell>
        </row>
        <row r="114">
          <cell r="B114" t="str">
            <v>GOS5</v>
          </cell>
          <cell r="C114" t="str">
            <v>FSAM</v>
          </cell>
          <cell r="D114" t="str">
            <v>NSW</v>
          </cell>
          <cell r="E114" t="str">
            <v>Sydney East</v>
          </cell>
          <cell r="F114" t="str">
            <v>Adam Walsh</v>
          </cell>
          <cell r="G114">
            <v>0.9</v>
          </cell>
          <cell r="H114">
            <v>0</v>
          </cell>
          <cell r="I114">
            <v>9.0000000000000011E-2</v>
          </cell>
          <cell r="J114" t="str">
            <v>Gate 2 Submitted</v>
          </cell>
          <cell r="K114" t="str">
            <v>Civil Not Started</v>
          </cell>
        </row>
        <row r="115">
          <cell r="B115" t="str">
            <v>IPS4</v>
          </cell>
          <cell r="C115" t="str">
            <v>FSAM</v>
          </cell>
          <cell r="D115" t="str">
            <v>QLD</v>
          </cell>
          <cell r="E115" t="str">
            <v>QLD South</v>
          </cell>
          <cell r="F115" t="str">
            <v>Alan Bassett</v>
          </cell>
          <cell r="G115">
            <v>0.9</v>
          </cell>
          <cell r="H115">
            <v>0</v>
          </cell>
          <cell r="I115">
            <v>9.0000000000000011E-2</v>
          </cell>
          <cell r="J115" t="str">
            <v>Gate 2 Submitted</v>
          </cell>
          <cell r="K115" t="str">
            <v>Civil Not Started</v>
          </cell>
        </row>
        <row r="116">
          <cell r="B116" t="str">
            <v>TOB7</v>
          </cell>
          <cell r="C116" t="str">
            <v>FSAM</v>
          </cell>
          <cell r="D116" t="str">
            <v>QLD</v>
          </cell>
          <cell r="E116" t="str">
            <v>QLD South</v>
          </cell>
          <cell r="F116" t="str">
            <v>Alan Bassett</v>
          </cell>
          <cell r="G116">
            <v>0.9</v>
          </cell>
          <cell r="H116">
            <v>0</v>
          </cell>
          <cell r="I116">
            <v>9.0000000000000011E-2</v>
          </cell>
          <cell r="J116" t="str">
            <v>Gate 2 Submitted</v>
          </cell>
          <cell r="K116" t="str">
            <v>Civil Not Started</v>
          </cell>
        </row>
        <row r="117">
          <cell r="B117" t="str">
            <v>TOB8</v>
          </cell>
          <cell r="C117" t="str">
            <v>FSAM</v>
          </cell>
          <cell r="D117" t="str">
            <v>QLD</v>
          </cell>
          <cell r="E117" t="str">
            <v>QLD South</v>
          </cell>
          <cell r="F117" t="str">
            <v>Alan Bassett</v>
          </cell>
          <cell r="G117">
            <v>0.9</v>
          </cell>
          <cell r="H117">
            <v>0</v>
          </cell>
          <cell r="I117">
            <v>9.0000000000000011E-2</v>
          </cell>
          <cell r="J117" t="str">
            <v>Gate 2 Submitted</v>
          </cell>
          <cell r="K117" t="str">
            <v>Civil Not Started</v>
          </cell>
        </row>
        <row r="118">
          <cell r="B118" t="str">
            <v>BDB1</v>
          </cell>
          <cell r="C118" t="str">
            <v>FSAM</v>
          </cell>
          <cell r="D118" t="str">
            <v>QLD</v>
          </cell>
          <cell r="E118" t="str">
            <v>QLD Metro</v>
          </cell>
          <cell r="F118" t="str">
            <v>Jonathan Cogan</v>
          </cell>
          <cell r="G118">
            <v>0.5</v>
          </cell>
          <cell r="H118">
            <v>0</v>
          </cell>
          <cell r="I118">
            <v>0.05</v>
          </cell>
          <cell r="J118" t="str">
            <v>Gate 1 Submitted</v>
          </cell>
          <cell r="K118" t="str">
            <v>Civil Not Started</v>
          </cell>
        </row>
        <row r="119">
          <cell r="B119" t="str">
            <v>PTH7</v>
          </cell>
          <cell r="C119" t="str">
            <v>FSAM</v>
          </cell>
          <cell r="D119" t="str">
            <v>NSW</v>
          </cell>
          <cell r="E119" t="str">
            <v>Sydney West</v>
          </cell>
          <cell r="F119" t="str">
            <v>Damien Marov</v>
          </cell>
          <cell r="G119">
            <v>0.5</v>
          </cell>
          <cell r="H119">
            <v>0</v>
          </cell>
          <cell r="I119">
            <v>0.05</v>
          </cell>
          <cell r="J119" t="str">
            <v>Gate 1 Submitted</v>
          </cell>
          <cell r="K119" t="str">
            <v>Civil Not Started</v>
          </cell>
        </row>
        <row r="120">
          <cell r="B120" t="str">
            <v>DAP6</v>
          </cell>
          <cell r="C120" t="str">
            <v>FSAM</v>
          </cell>
          <cell r="D120" t="str">
            <v>NSW</v>
          </cell>
          <cell r="E120" t="str">
            <v>NSW South / ACT</v>
          </cell>
          <cell r="F120" t="str">
            <v>Steven Blewitt</v>
          </cell>
          <cell r="G120">
            <v>0.5</v>
          </cell>
          <cell r="H120">
            <v>0</v>
          </cell>
          <cell r="I120">
            <v>0.05</v>
          </cell>
          <cell r="J120" t="str">
            <v>Gate 1 Submitted</v>
          </cell>
          <cell r="K120" t="str">
            <v>Civil Not Started</v>
          </cell>
        </row>
        <row r="121">
          <cell r="B121" t="str">
            <v>COR6</v>
          </cell>
          <cell r="C121" t="str">
            <v>FSAM</v>
          </cell>
          <cell r="D121" t="str">
            <v>NSW</v>
          </cell>
          <cell r="E121" t="str">
            <v>NSW South / ACT</v>
          </cell>
          <cell r="F121" t="str">
            <v>Steven Blewitt</v>
          </cell>
          <cell r="G121">
            <v>0.5</v>
          </cell>
          <cell r="H121">
            <v>0</v>
          </cell>
          <cell r="I121">
            <v>0.05</v>
          </cell>
          <cell r="J121" t="str">
            <v>Gate 1 Submitted</v>
          </cell>
          <cell r="K121" t="str">
            <v>Civil Not Started</v>
          </cell>
        </row>
        <row r="122">
          <cell r="B122" t="str">
            <v>COR7</v>
          </cell>
          <cell r="C122" t="str">
            <v>FSAM</v>
          </cell>
          <cell r="D122" t="str">
            <v>NSW</v>
          </cell>
          <cell r="E122" t="str">
            <v>NSW South / ACT</v>
          </cell>
          <cell r="F122" t="str">
            <v>Steven Blewitt</v>
          </cell>
          <cell r="G122">
            <v>0.5</v>
          </cell>
          <cell r="H122">
            <v>0</v>
          </cell>
          <cell r="I122">
            <v>0.05</v>
          </cell>
          <cell r="J122" t="str">
            <v>Gate 1 Submitted</v>
          </cell>
          <cell r="K122" t="str">
            <v>Civil Not Started</v>
          </cell>
        </row>
        <row r="123">
          <cell r="B123" t="str">
            <v>DAP1</v>
          </cell>
          <cell r="C123" t="str">
            <v>FSAM</v>
          </cell>
          <cell r="D123" t="str">
            <v>NSW</v>
          </cell>
          <cell r="E123" t="str">
            <v>NSW South / ACT</v>
          </cell>
          <cell r="F123" t="str">
            <v>Steven Blewitt</v>
          </cell>
          <cell r="G123">
            <v>0.5</v>
          </cell>
          <cell r="H123">
            <v>0</v>
          </cell>
          <cell r="I123">
            <v>0.05</v>
          </cell>
          <cell r="J123" t="str">
            <v>Gate 1 Submitted</v>
          </cell>
          <cell r="K123" t="str">
            <v>Civil Not Started</v>
          </cell>
        </row>
        <row r="124">
          <cell r="B124" t="str">
            <v>COR4</v>
          </cell>
          <cell r="C124" t="str">
            <v>FSAM</v>
          </cell>
          <cell r="D124" t="str">
            <v>NSW</v>
          </cell>
          <cell r="E124" t="str">
            <v>NSW South / ACT</v>
          </cell>
          <cell r="F124" t="str">
            <v>Steven Blewitt</v>
          </cell>
          <cell r="G124">
            <v>0.5</v>
          </cell>
          <cell r="H124">
            <v>0</v>
          </cell>
          <cell r="I124">
            <v>0.05</v>
          </cell>
          <cell r="J124" t="str">
            <v>Gate 1 Submitted</v>
          </cell>
          <cell r="K124" t="str">
            <v>Civil Not Started</v>
          </cell>
        </row>
        <row r="125">
          <cell r="B125" t="str">
            <v>LJT4</v>
          </cell>
          <cell r="C125" t="str">
            <v>FSAM</v>
          </cell>
          <cell r="D125" t="str">
            <v>NSW</v>
          </cell>
          <cell r="E125" t="str">
            <v>Sydney East</v>
          </cell>
          <cell r="F125" t="str">
            <v>Adam Walsh</v>
          </cell>
          <cell r="G125">
            <v>0.5</v>
          </cell>
          <cell r="H125">
            <v>0</v>
          </cell>
          <cell r="I125">
            <v>0.05</v>
          </cell>
          <cell r="J125" t="str">
            <v>Gate 1 Submitted</v>
          </cell>
          <cell r="K125" t="str">
            <v>Civil Not Started</v>
          </cell>
        </row>
        <row r="126">
          <cell r="B126" t="str">
            <v>BLK9</v>
          </cell>
          <cell r="C126" t="str">
            <v>FSAM</v>
          </cell>
          <cell r="D126" t="str">
            <v>NSW</v>
          </cell>
          <cell r="E126" t="str">
            <v>Sydney West</v>
          </cell>
          <cell r="F126" t="str">
            <v>Damien Marov</v>
          </cell>
          <cell r="G126">
            <v>0.5</v>
          </cell>
          <cell r="H126">
            <v>0</v>
          </cell>
          <cell r="I126">
            <v>0.05</v>
          </cell>
          <cell r="J126" t="str">
            <v>Gate 1 Submitted</v>
          </cell>
          <cell r="K126" t="str">
            <v>Civil Not Started</v>
          </cell>
        </row>
        <row r="127">
          <cell r="B127" t="str">
            <v>COR5</v>
          </cell>
          <cell r="C127" t="str">
            <v>FSAM</v>
          </cell>
          <cell r="D127" t="str">
            <v>NSW</v>
          </cell>
          <cell r="E127" t="str">
            <v>NSW South / ACT</v>
          </cell>
          <cell r="F127" t="str">
            <v>Steven Blewitt</v>
          </cell>
          <cell r="G127">
            <v>0.5</v>
          </cell>
          <cell r="H127">
            <v>0</v>
          </cell>
          <cell r="I127">
            <v>0.05</v>
          </cell>
          <cell r="J127" t="str">
            <v>Gate 1 Submitted</v>
          </cell>
          <cell r="K127" t="str">
            <v>Civil Not Started</v>
          </cell>
        </row>
        <row r="128">
          <cell r="B128" t="str">
            <v>LID6</v>
          </cell>
          <cell r="C128" t="str">
            <v>FSAM</v>
          </cell>
          <cell r="D128" t="str">
            <v>NSW</v>
          </cell>
          <cell r="E128" t="str">
            <v>Sydney East</v>
          </cell>
          <cell r="F128" t="str">
            <v>Adam Walsh</v>
          </cell>
          <cell r="G128">
            <v>0.5</v>
          </cell>
          <cell r="H128">
            <v>0</v>
          </cell>
          <cell r="I128">
            <v>0.05</v>
          </cell>
          <cell r="J128" t="str">
            <v>Gate 1 Submitted</v>
          </cell>
          <cell r="K128" t="str">
            <v>Civil Not Started</v>
          </cell>
        </row>
        <row r="129">
          <cell r="B129" t="str">
            <v>LID7</v>
          </cell>
          <cell r="C129" t="str">
            <v>FSAM</v>
          </cell>
          <cell r="D129" t="str">
            <v>NSW</v>
          </cell>
          <cell r="E129" t="str">
            <v>Sydney East</v>
          </cell>
          <cell r="F129" t="str">
            <v>Adam Walsh</v>
          </cell>
          <cell r="G129">
            <v>0.5</v>
          </cell>
          <cell r="H129">
            <v>0</v>
          </cell>
          <cell r="I129">
            <v>0.05</v>
          </cell>
          <cell r="J129" t="str">
            <v>Gate 1 Submitted</v>
          </cell>
          <cell r="K129" t="str">
            <v>Civil Not Started</v>
          </cell>
        </row>
        <row r="130">
          <cell r="B130" t="str">
            <v>LID8</v>
          </cell>
          <cell r="C130" t="str">
            <v>FSAM</v>
          </cell>
          <cell r="D130" t="str">
            <v>NSW</v>
          </cell>
          <cell r="E130" t="str">
            <v>Sydney East</v>
          </cell>
          <cell r="F130" t="str">
            <v>Adam Walsh</v>
          </cell>
          <cell r="G130">
            <v>0.5</v>
          </cell>
          <cell r="H130">
            <v>0</v>
          </cell>
          <cell r="I130">
            <v>0.05</v>
          </cell>
          <cell r="J130" t="str">
            <v>Gate 1 Submitted</v>
          </cell>
          <cell r="K130" t="str">
            <v>Civil Not Started</v>
          </cell>
        </row>
        <row r="131">
          <cell r="B131" t="str">
            <v>LJT6</v>
          </cell>
          <cell r="C131" t="str">
            <v>FSAM</v>
          </cell>
          <cell r="D131" t="str">
            <v>NSW</v>
          </cell>
          <cell r="E131" t="str">
            <v>Sydney East</v>
          </cell>
          <cell r="F131" t="str">
            <v>Adam Walsh</v>
          </cell>
          <cell r="G131">
            <v>0.5</v>
          </cell>
          <cell r="H131">
            <v>0</v>
          </cell>
          <cell r="I131">
            <v>0.05</v>
          </cell>
          <cell r="J131" t="str">
            <v>Gate 1 Submitted</v>
          </cell>
          <cell r="K131" t="str">
            <v>Civil Not Started</v>
          </cell>
        </row>
        <row r="132">
          <cell r="B132" t="str">
            <v>WLG3</v>
          </cell>
          <cell r="C132" t="str">
            <v>FSAM</v>
          </cell>
          <cell r="D132" t="str">
            <v>NSW</v>
          </cell>
          <cell r="E132" t="str">
            <v>NSW South / ACT</v>
          </cell>
          <cell r="F132" t="str">
            <v>Steven Blewitt</v>
          </cell>
          <cell r="G132">
            <v>0.5</v>
          </cell>
          <cell r="H132">
            <v>0</v>
          </cell>
          <cell r="I132">
            <v>0.05</v>
          </cell>
          <cell r="J132" t="str">
            <v>Gate 1 Submitted</v>
          </cell>
          <cell r="K132" t="str">
            <v>Civil Not Started</v>
          </cell>
        </row>
        <row r="133">
          <cell r="B133" t="str">
            <v>CAI4</v>
          </cell>
          <cell r="C133" t="str">
            <v>FSAM</v>
          </cell>
          <cell r="D133" t="str">
            <v>QLD</v>
          </cell>
          <cell r="E133" t="str">
            <v>QLD North</v>
          </cell>
          <cell r="F133" t="str">
            <v>Col Higman</v>
          </cell>
          <cell r="G133">
            <v>0.5</v>
          </cell>
          <cell r="H133">
            <v>0</v>
          </cell>
          <cell r="I133">
            <v>0.05</v>
          </cell>
          <cell r="J133" t="str">
            <v>Gate 1 Submitted</v>
          </cell>
          <cell r="K133" t="str">
            <v>Civil Not Started</v>
          </cell>
        </row>
        <row r="134">
          <cell r="B134" t="str">
            <v>TOB9</v>
          </cell>
          <cell r="C134" t="str">
            <v>FSAM</v>
          </cell>
          <cell r="D134" t="str">
            <v>QLD</v>
          </cell>
          <cell r="E134" t="str">
            <v>QLD South</v>
          </cell>
          <cell r="F134" t="str">
            <v>Alan Bassett</v>
          </cell>
          <cell r="G134">
            <v>0.5</v>
          </cell>
          <cell r="H134">
            <v>0</v>
          </cell>
          <cell r="I134">
            <v>0.05</v>
          </cell>
          <cell r="J134" t="str">
            <v>Gate 1 Submitted</v>
          </cell>
          <cell r="K134" t="str">
            <v>Civil Not Started</v>
          </cell>
        </row>
        <row r="135">
          <cell r="B135" t="str">
            <v>CVI1</v>
          </cell>
          <cell r="C135" t="str">
            <v>FSAM</v>
          </cell>
          <cell r="D135" t="str">
            <v>NSW</v>
          </cell>
          <cell r="E135" t="str">
            <v>NSW South / ACT</v>
          </cell>
          <cell r="F135" t="str">
            <v>Steven Blewitt</v>
          </cell>
          <cell r="G135">
            <v>0.5</v>
          </cell>
          <cell r="H135">
            <v>0</v>
          </cell>
          <cell r="I135">
            <v>0.05</v>
          </cell>
          <cell r="J135" t="str">
            <v>Gate 1 Submitted</v>
          </cell>
          <cell r="K135" t="str">
            <v>Civil Not Started</v>
          </cell>
        </row>
        <row r="136">
          <cell r="B136" t="str">
            <v>CVI2</v>
          </cell>
          <cell r="C136" t="str">
            <v>FSAM</v>
          </cell>
          <cell r="D136" t="str">
            <v>NSW</v>
          </cell>
          <cell r="E136" t="str">
            <v>NSW South / ACT</v>
          </cell>
          <cell r="F136" t="str">
            <v>Steven Blewitt</v>
          </cell>
          <cell r="G136">
            <v>0.5</v>
          </cell>
          <cell r="H136">
            <v>0</v>
          </cell>
          <cell r="I136">
            <v>0.05</v>
          </cell>
          <cell r="J136" t="str">
            <v>Gate 1 Submitted</v>
          </cell>
          <cell r="K136" t="str">
            <v>Civil Not Started</v>
          </cell>
        </row>
        <row r="137">
          <cell r="B137" t="str">
            <v>QBN3</v>
          </cell>
          <cell r="C137" t="str">
            <v>FSAM</v>
          </cell>
          <cell r="D137" t="str">
            <v>NSW</v>
          </cell>
          <cell r="E137" t="str">
            <v>NSW South / ACT</v>
          </cell>
          <cell r="F137" t="str">
            <v>Steven Blewitt</v>
          </cell>
          <cell r="G137">
            <v>0.5</v>
          </cell>
          <cell r="H137">
            <v>0</v>
          </cell>
          <cell r="I137">
            <v>0.05</v>
          </cell>
          <cell r="J137" t="str">
            <v>Gate 1 Submitted</v>
          </cell>
          <cell r="K137" t="str">
            <v>Civil Not Started</v>
          </cell>
        </row>
        <row r="138">
          <cell r="B138" t="str">
            <v>WLG6</v>
          </cell>
          <cell r="C138" t="str">
            <v>FSAM</v>
          </cell>
          <cell r="D138" t="str">
            <v>NSW</v>
          </cell>
          <cell r="E138" t="str">
            <v>NSW South / ACT</v>
          </cell>
          <cell r="F138" t="str">
            <v>Steven Blewitt</v>
          </cell>
          <cell r="G138">
            <v>0.01</v>
          </cell>
          <cell r="H138">
            <v>0</v>
          </cell>
          <cell r="I138">
            <v>1E-3</v>
          </cell>
          <cell r="J138" t="str">
            <v>CI Received</v>
          </cell>
          <cell r="K138" t="str">
            <v>Civil Not Started</v>
          </cell>
        </row>
        <row r="139">
          <cell r="B139" t="str">
            <v>HOM4</v>
          </cell>
          <cell r="C139" t="str">
            <v>FSAM</v>
          </cell>
          <cell r="D139" t="str">
            <v>NSW</v>
          </cell>
          <cell r="E139" t="str">
            <v>Sydney East</v>
          </cell>
          <cell r="F139" t="str">
            <v>Adam Walsh</v>
          </cell>
          <cell r="G139">
            <v>0.5</v>
          </cell>
          <cell r="H139">
            <v>0</v>
          </cell>
          <cell r="I139">
            <v>0.05</v>
          </cell>
          <cell r="J139" t="str">
            <v>Gate 1 Submitted</v>
          </cell>
          <cell r="K139" t="str">
            <v>Civil Not Started</v>
          </cell>
        </row>
        <row r="140">
          <cell r="B140" t="str">
            <v>KLG7</v>
          </cell>
          <cell r="C140" t="str">
            <v>FSAM</v>
          </cell>
          <cell r="D140" t="str">
            <v>QLD</v>
          </cell>
          <cell r="E140" t="str">
            <v>QLD Metro</v>
          </cell>
          <cell r="F140" t="str">
            <v>Jonathan Cogan</v>
          </cell>
          <cell r="G140">
            <v>0.01</v>
          </cell>
          <cell r="H140">
            <v>0</v>
          </cell>
          <cell r="I140">
            <v>1E-3</v>
          </cell>
          <cell r="J140" t="str">
            <v>CI Received</v>
          </cell>
          <cell r="K140" t="str">
            <v>Civil Not Started</v>
          </cell>
        </row>
        <row r="141">
          <cell r="B141" t="str">
            <v>MAI11</v>
          </cell>
          <cell r="C141" t="str">
            <v>FSAM</v>
          </cell>
          <cell r="D141" t="str">
            <v>NSW</v>
          </cell>
          <cell r="E141" t="str">
            <v>NSW North</v>
          </cell>
          <cell r="F141" t="str">
            <v>James Herden</v>
          </cell>
          <cell r="G141">
            <v>0.01</v>
          </cell>
          <cell r="H141">
            <v>0</v>
          </cell>
          <cell r="I141">
            <v>1E-3</v>
          </cell>
          <cell r="J141" t="str">
            <v>CI Received</v>
          </cell>
          <cell r="K141" t="str">
            <v>Civil Not Started</v>
          </cell>
        </row>
        <row r="142">
          <cell r="B142" t="str">
            <v>COR8</v>
          </cell>
          <cell r="C142" t="str">
            <v>FSAM</v>
          </cell>
          <cell r="D142" t="str">
            <v>NSW</v>
          </cell>
          <cell r="E142" t="str">
            <v>NSW South / ACT</v>
          </cell>
          <cell r="F142" t="str">
            <v>Steven Blewitt</v>
          </cell>
          <cell r="G142">
            <v>0.01</v>
          </cell>
          <cell r="H142">
            <v>0</v>
          </cell>
          <cell r="I142">
            <v>1E-3</v>
          </cell>
          <cell r="J142" t="str">
            <v>CI Received</v>
          </cell>
          <cell r="K142" t="str">
            <v>Civil Not Started</v>
          </cell>
        </row>
        <row r="143">
          <cell r="B143" t="str">
            <v>MDG1</v>
          </cell>
          <cell r="C143" t="str">
            <v>FSAM</v>
          </cell>
          <cell r="D143" t="str">
            <v>NSW</v>
          </cell>
          <cell r="E143" t="str">
            <v>NSW North</v>
          </cell>
          <cell r="F143" t="str">
            <v>James Herden</v>
          </cell>
          <cell r="G143">
            <v>0.01</v>
          </cell>
          <cell r="H143">
            <v>0</v>
          </cell>
          <cell r="I143">
            <v>1E-3</v>
          </cell>
          <cell r="J143" t="str">
            <v>CI Received</v>
          </cell>
          <cell r="K143" t="str">
            <v>Civil Not Started</v>
          </cell>
        </row>
        <row r="144">
          <cell r="B144" t="str">
            <v>MDG2</v>
          </cell>
          <cell r="C144" t="str">
            <v>FSAM</v>
          </cell>
          <cell r="D144" t="str">
            <v>NSW</v>
          </cell>
          <cell r="E144" t="str">
            <v>NSW North</v>
          </cell>
          <cell r="F144" t="str">
            <v>James Herden</v>
          </cell>
          <cell r="G144">
            <v>0.01</v>
          </cell>
          <cell r="H144">
            <v>0</v>
          </cell>
          <cell r="I144">
            <v>1E-3</v>
          </cell>
          <cell r="J144" t="str">
            <v>CI Received</v>
          </cell>
          <cell r="K144" t="str">
            <v>Civil Not Started</v>
          </cell>
        </row>
        <row r="145">
          <cell r="B145" t="str">
            <v>BDB2</v>
          </cell>
          <cell r="C145" t="str">
            <v>FSAM</v>
          </cell>
          <cell r="D145" t="str">
            <v>QLD</v>
          </cell>
          <cell r="E145" t="str">
            <v>QLD Metro</v>
          </cell>
          <cell r="F145" t="str">
            <v>Jonathan Cogan</v>
          </cell>
          <cell r="G145">
            <v>0.01</v>
          </cell>
          <cell r="H145">
            <v>0</v>
          </cell>
          <cell r="I145">
            <v>1E-3</v>
          </cell>
          <cell r="J145" t="str">
            <v>CI Received</v>
          </cell>
          <cell r="K145" t="str">
            <v>Civil Not Started</v>
          </cell>
        </row>
        <row r="146">
          <cell r="B146" t="str">
            <v>MKY4</v>
          </cell>
          <cell r="C146" t="str">
            <v>FSAM</v>
          </cell>
          <cell r="D146" t="str">
            <v>QLD</v>
          </cell>
          <cell r="E146" t="str">
            <v>QLD North</v>
          </cell>
          <cell r="F146" t="str">
            <v>Sunil Nair</v>
          </cell>
          <cell r="G146">
            <v>0.5</v>
          </cell>
          <cell r="H146">
            <v>0</v>
          </cell>
          <cell r="I146">
            <v>0.05</v>
          </cell>
          <cell r="J146" t="str">
            <v>Gate 1 Submitted</v>
          </cell>
          <cell r="K146" t="str">
            <v>Civil Not Started</v>
          </cell>
        </row>
        <row r="147">
          <cell r="B147" t="str">
            <v>MDG3</v>
          </cell>
          <cell r="C147" t="str">
            <v>FSAM</v>
          </cell>
          <cell r="D147" t="str">
            <v>NSW</v>
          </cell>
          <cell r="E147" t="str">
            <v>NSW North</v>
          </cell>
          <cell r="F147" t="str">
            <v>James Herden</v>
          </cell>
          <cell r="G147">
            <v>0.01</v>
          </cell>
          <cell r="H147">
            <v>0</v>
          </cell>
          <cell r="I147">
            <v>1E-3</v>
          </cell>
          <cell r="J147" t="str">
            <v>CI Received</v>
          </cell>
          <cell r="K147" t="str">
            <v>Civil Not Started</v>
          </cell>
        </row>
        <row r="148">
          <cell r="B148" t="str">
            <v>WAG1</v>
          </cell>
          <cell r="C148" t="str">
            <v>FSAM</v>
          </cell>
          <cell r="D148" t="str">
            <v>NSW</v>
          </cell>
          <cell r="E148" t="str">
            <v>NSW South / ACT</v>
          </cell>
          <cell r="F148" t="str">
            <v>Steven Blewitt</v>
          </cell>
          <cell r="G148">
            <v>0.01</v>
          </cell>
          <cell r="H148">
            <v>0</v>
          </cell>
          <cell r="I148">
            <v>1E-3</v>
          </cell>
          <cell r="J148" t="str">
            <v>CI Received</v>
          </cell>
          <cell r="K148" t="str">
            <v>Civil Not Started</v>
          </cell>
        </row>
        <row r="149">
          <cell r="B149" t="str">
            <v>WAG2</v>
          </cell>
          <cell r="C149" t="str">
            <v>FSAM</v>
          </cell>
          <cell r="D149" t="str">
            <v>NSW</v>
          </cell>
          <cell r="E149" t="str">
            <v>NSW South / ACT</v>
          </cell>
          <cell r="F149" t="str">
            <v>Steven Blewitt</v>
          </cell>
          <cell r="G149">
            <v>0.01</v>
          </cell>
          <cell r="H149">
            <v>0</v>
          </cell>
          <cell r="I149">
            <v>1E-3</v>
          </cell>
          <cell r="J149" t="str">
            <v>CI Received</v>
          </cell>
          <cell r="K149" t="str">
            <v>Civil Not Started</v>
          </cell>
        </row>
        <row r="150">
          <cell r="B150" t="str">
            <v>WAG3</v>
          </cell>
          <cell r="C150" t="str">
            <v>FSAM</v>
          </cell>
          <cell r="D150" t="str">
            <v>NSW</v>
          </cell>
          <cell r="E150" t="str">
            <v>NSW South / ACT</v>
          </cell>
          <cell r="F150" t="str">
            <v>Steven Blewitt</v>
          </cell>
          <cell r="G150">
            <v>0.01</v>
          </cell>
          <cell r="H150">
            <v>0</v>
          </cell>
          <cell r="I150">
            <v>1E-3</v>
          </cell>
          <cell r="J150" t="str">
            <v>CI Received</v>
          </cell>
          <cell r="K150" t="str">
            <v>Civil Not Started</v>
          </cell>
        </row>
        <row r="151">
          <cell r="B151" t="str">
            <v>LJT9</v>
          </cell>
          <cell r="C151" t="str">
            <v>FSAM</v>
          </cell>
          <cell r="D151" t="str">
            <v>NSW</v>
          </cell>
          <cell r="E151" t="str">
            <v>Sydney East</v>
          </cell>
          <cell r="F151" t="str">
            <v>Adam Walsh</v>
          </cell>
          <cell r="G151">
            <v>0.01</v>
          </cell>
          <cell r="H151">
            <v>0</v>
          </cell>
          <cell r="I151">
            <v>1E-3</v>
          </cell>
          <cell r="J151" t="str">
            <v>CI Received</v>
          </cell>
          <cell r="K151" t="str">
            <v>Civil Not Started</v>
          </cell>
        </row>
        <row r="152">
          <cell r="B152" t="str">
            <v>BBE2</v>
          </cell>
          <cell r="C152" t="str">
            <v>FSAM</v>
          </cell>
          <cell r="D152" t="str">
            <v>QLD</v>
          </cell>
          <cell r="E152" t="str">
            <v>QLD South</v>
          </cell>
          <cell r="F152" t="str">
            <v>Alan Bassett</v>
          </cell>
          <cell r="G152">
            <v>0.01</v>
          </cell>
          <cell r="H152">
            <v>0</v>
          </cell>
          <cell r="I152">
            <v>1E-3</v>
          </cell>
          <cell r="J152" t="str">
            <v>CI Received</v>
          </cell>
          <cell r="K152" t="str">
            <v>Civil Not Started</v>
          </cell>
        </row>
        <row r="153">
          <cell r="B153" t="str">
            <v>GUL7</v>
          </cell>
          <cell r="C153" t="str">
            <v>FSAM</v>
          </cell>
          <cell r="D153" t="str">
            <v>QLD</v>
          </cell>
          <cell r="E153" t="str">
            <v>QLD North</v>
          </cell>
          <cell r="F153" t="str">
            <v>Sunil Nair</v>
          </cell>
          <cell r="G153">
            <v>0.01</v>
          </cell>
          <cell r="H153">
            <v>0</v>
          </cell>
          <cell r="I153">
            <v>1E-3</v>
          </cell>
          <cell r="J153" t="str">
            <v>CI Received</v>
          </cell>
          <cell r="K153" t="str">
            <v>Civil Not Started</v>
          </cell>
        </row>
        <row r="154">
          <cell r="B154" t="str">
            <v>IPS8</v>
          </cell>
          <cell r="C154" t="str">
            <v>FSAM</v>
          </cell>
          <cell r="D154" t="str">
            <v>QLD</v>
          </cell>
          <cell r="E154" t="str">
            <v>QLD Metro</v>
          </cell>
          <cell r="F154" t="str">
            <v>Col Higman</v>
          </cell>
          <cell r="G154">
            <v>0.01</v>
          </cell>
          <cell r="H154">
            <v>0</v>
          </cell>
          <cell r="I154">
            <v>1E-3</v>
          </cell>
          <cell r="J154" t="str">
            <v>CI Received</v>
          </cell>
          <cell r="K154" t="str">
            <v>Civil Not Started</v>
          </cell>
        </row>
        <row r="155">
          <cell r="B155" t="str">
            <v>NDG4</v>
          </cell>
          <cell r="C155" t="str">
            <v>FSAM</v>
          </cell>
          <cell r="D155" t="str">
            <v>QLD</v>
          </cell>
          <cell r="E155" t="str">
            <v>QLD Metro</v>
          </cell>
          <cell r="F155" t="str">
            <v>Jonathan Cogan</v>
          </cell>
          <cell r="G155">
            <v>0.01</v>
          </cell>
          <cell r="H155">
            <v>0</v>
          </cell>
          <cell r="I155">
            <v>1E-3</v>
          </cell>
          <cell r="J155" t="str">
            <v>CI Received</v>
          </cell>
          <cell r="K155" t="str">
            <v>Civil Not Started</v>
          </cell>
        </row>
        <row r="156">
          <cell r="B156" t="str">
            <v>TEE5</v>
          </cell>
          <cell r="C156" t="str">
            <v>FSAM</v>
          </cell>
          <cell r="D156" t="str">
            <v>NSW</v>
          </cell>
          <cell r="E156" t="str">
            <v>NSW North</v>
          </cell>
          <cell r="F156" t="str">
            <v>James Herden</v>
          </cell>
          <cell r="G156">
            <v>0.01</v>
          </cell>
          <cell r="H156">
            <v>0</v>
          </cell>
          <cell r="I156">
            <v>1E-3</v>
          </cell>
          <cell r="J156" t="str">
            <v>CI Received</v>
          </cell>
          <cell r="K156" t="str">
            <v>Civil Not Started</v>
          </cell>
        </row>
        <row r="157">
          <cell r="B157" t="str">
            <v>BLK10</v>
          </cell>
          <cell r="C157" t="str">
            <v>FSAM</v>
          </cell>
          <cell r="D157" t="str">
            <v>NSW</v>
          </cell>
          <cell r="E157" t="str">
            <v>Sydney East</v>
          </cell>
          <cell r="F157" t="str">
            <v>Damien Marov</v>
          </cell>
          <cell r="G157">
            <v>0.01</v>
          </cell>
          <cell r="H157">
            <v>0</v>
          </cell>
          <cell r="I157">
            <v>1E-3</v>
          </cell>
          <cell r="J157" t="str">
            <v>CI Received</v>
          </cell>
          <cell r="K157" t="str">
            <v>Civil Not Started</v>
          </cell>
        </row>
        <row r="158">
          <cell r="B158" t="str">
            <v>GOS8</v>
          </cell>
          <cell r="C158" t="str">
            <v>FSAM</v>
          </cell>
          <cell r="D158" t="str">
            <v>NSW</v>
          </cell>
          <cell r="E158" t="str">
            <v>Sydney East</v>
          </cell>
          <cell r="F158" t="str">
            <v>Adam Walsh</v>
          </cell>
          <cell r="G158">
            <v>0.01</v>
          </cell>
          <cell r="H158">
            <v>0</v>
          </cell>
          <cell r="I158">
            <v>1E-3</v>
          </cell>
          <cell r="J158" t="str">
            <v>CI Received</v>
          </cell>
          <cell r="K158" t="str">
            <v>Civil Not Started</v>
          </cell>
        </row>
        <row r="159">
          <cell r="B159" t="str">
            <v>LIV4</v>
          </cell>
          <cell r="C159" t="str">
            <v>FSAM</v>
          </cell>
          <cell r="D159" t="str">
            <v>NSW</v>
          </cell>
          <cell r="E159" t="str">
            <v>Sydney West</v>
          </cell>
          <cell r="F159" t="str">
            <v>Damien Marov</v>
          </cell>
          <cell r="G159">
            <v>0.01</v>
          </cell>
          <cell r="H159">
            <v>0</v>
          </cell>
          <cell r="I159">
            <v>1E-3</v>
          </cell>
          <cell r="J159" t="str">
            <v>CI Received</v>
          </cell>
          <cell r="K159" t="str">
            <v>Civil Not Started</v>
          </cell>
        </row>
        <row r="160">
          <cell r="B160" t="str">
            <v>LJT5</v>
          </cell>
          <cell r="C160" t="str">
            <v>FSAM</v>
          </cell>
          <cell r="D160" t="str">
            <v>NSW</v>
          </cell>
          <cell r="E160" t="str">
            <v>Sydney East</v>
          </cell>
          <cell r="F160" t="str">
            <v>Adam Walsh</v>
          </cell>
          <cell r="G160">
            <v>0.01</v>
          </cell>
          <cell r="H160">
            <v>0</v>
          </cell>
          <cell r="I160">
            <v>1E-3</v>
          </cell>
          <cell r="J160" t="str">
            <v>CI Received</v>
          </cell>
          <cell r="K160" t="str">
            <v>Civil Not Started</v>
          </cell>
        </row>
        <row r="161">
          <cell r="B161" t="str">
            <v>LJT8</v>
          </cell>
          <cell r="C161" t="str">
            <v>FSAM</v>
          </cell>
          <cell r="D161" t="str">
            <v>NSW</v>
          </cell>
          <cell r="E161" t="str">
            <v>Sydney East</v>
          </cell>
          <cell r="F161" t="str">
            <v>Adam Walsh</v>
          </cell>
          <cell r="G161">
            <v>0.01</v>
          </cell>
          <cell r="H161">
            <v>0</v>
          </cell>
          <cell r="I161">
            <v>1E-3</v>
          </cell>
          <cell r="J161" t="str">
            <v>CI Received</v>
          </cell>
          <cell r="K161" t="str">
            <v>Civil Not Started</v>
          </cell>
        </row>
        <row r="162">
          <cell r="B162" t="str">
            <v>MAI3</v>
          </cell>
          <cell r="C162" t="str">
            <v>FSAM</v>
          </cell>
          <cell r="D162" t="str">
            <v>NSW</v>
          </cell>
          <cell r="E162" t="str">
            <v>NSW North</v>
          </cell>
          <cell r="F162" t="str">
            <v>James Herden</v>
          </cell>
          <cell r="G162">
            <v>0.01</v>
          </cell>
          <cell r="H162">
            <v>0</v>
          </cell>
          <cell r="I162">
            <v>1E-3</v>
          </cell>
          <cell r="J162" t="str">
            <v>CI Received</v>
          </cell>
          <cell r="K162" t="str">
            <v>Civil Not Started</v>
          </cell>
        </row>
        <row r="163">
          <cell r="B163" t="str">
            <v>RCH7</v>
          </cell>
          <cell r="C163" t="str">
            <v>FSAM</v>
          </cell>
          <cell r="D163" t="str">
            <v>NSW</v>
          </cell>
          <cell r="E163" t="str">
            <v>NSW South / ACT</v>
          </cell>
          <cell r="F163" t="str">
            <v>Damien Marov</v>
          </cell>
          <cell r="G163">
            <v>0.01</v>
          </cell>
          <cell r="H163">
            <v>0</v>
          </cell>
          <cell r="I163">
            <v>1E-3</v>
          </cell>
          <cell r="J163" t="str">
            <v>CI Received</v>
          </cell>
          <cell r="K163" t="str">
            <v>Civil Not Started</v>
          </cell>
        </row>
        <row r="164">
          <cell r="B164" t="str">
            <v>WLG5</v>
          </cell>
          <cell r="C164" t="str">
            <v>FSAM</v>
          </cell>
          <cell r="D164" t="str">
            <v>NSW</v>
          </cell>
          <cell r="E164" t="str">
            <v>NSW South / ACT</v>
          </cell>
          <cell r="F164" t="str">
            <v>Steven Blewitt</v>
          </cell>
          <cell r="G164">
            <v>0.01</v>
          </cell>
          <cell r="H164">
            <v>0</v>
          </cell>
          <cell r="I164">
            <v>1E-3</v>
          </cell>
          <cell r="J164" t="str">
            <v>CI Received</v>
          </cell>
          <cell r="K164" t="str">
            <v>Civil Not Started</v>
          </cell>
        </row>
        <row r="165">
          <cell r="B165" t="str">
            <v>APL5</v>
          </cell>
          <cell r="C165" t="str">
            <v>FSAM</v>
          </cell>
          <cell r="D165" t="str">
            <v>QLD</v>
          </cell>
          <cell r="E165" t="str">
            <v>QLD Metro</v>
          </cell>
          <cell r="F165" t="str">
            <v>Jonathan Cogan</v>
          </cell>
          <cell r="G165">
            <v>0.01</v>
          </cell>
          <cell r="H165">
            <v>0</v>
          </cell>
          <cell r="I165">
            <v>1E-3</v>
          </cell>
          <cell r="J165" t="str">
            <v>CI Received</v>
          </cell>
          <cell r="K165" t="str">
            <v>Civil Not Started</v>
          </cell>
        </row>
        <row r="166">
          <cell r="B166" t="str">
            <v>APL6</v>
          </cell>
          <cell r="C166" t="str">
            <v>FSAM</v>
          </cell>
          <cell r="D166" t="str">
            <v>QLD</v>
          </cell>
          <cell r="E166" t="str">
            <v>QLD Metro</v>
          </cell>
          <cell r="F166" t="str">
            <v>Jonathan Cogan</v>
          </cell>
          <cell r="G166">
            <v>0.01</v>
          </cell>
          <cell r="H166">
            <v>0</v>
          </cell>
          <cell r="I166">
            <v>1E-3</v>
          </cell>
          <cell r="J166" t="str">
            <v>CI Received</v>
          </cell>
          <cell r="K166" t="str">
            <v>Civil Not Started</v>
          </cell>
        </row>
        <row r="167">
          <cell r="B167" t="str">
            <v>ASH1</v>
          </cell>
          <cell r="C167" t="str">
            <v>FSAM</v>
          </cell>
          <cell r="D167" t="str">
            <v>QLD</v>
          </cell>
          <cell r="E167" t="str">
            <v>QLD Metro</v>
          </cell>
          <cell r="F167" t="str">
            <v>Jonathan Cogan</v>
          </cell>
          <cell r="G167">
            <v>0.01</v>
          </cell>
          <cell r="H167">
            <v>0</v>
          </cell>
          <cell r="I167">
            <v>1E-3</v>
          </cell>
          <cell r="J167" t="str">
            <v>CI Received</v>
          </cell>
          <cell r="K167" t="str">
            <v>Civil Not Started</v>
          </cell>
        </row>
        <row r="168">
          <cell r="B168" t="str">
            <v>ASH2</v>
          </cell>
          <cell r="C168" t="str">
            <v>FSAM</v>
          </cell>
          <cell r="D168" t="str">
            <v>QLD</v>
          </cell>
          <cell r="E168" t="str">
            <v>QLD Metro</v>
          </cell>
          <cell r="F168" t="str">
            <v>Jonathan Cogan</v>
          </cell>
          <cell r="G168">
            <v>0.01</v>
          </cell>
          <cell r="H168">
            <v>0</v>
          </cell>
          <cell r="I168">
            <v>1E-3</v>
          </cell>
          <cell r="J168" t="str">
            <v>CI Received</v>
          </cell>
          <cell r="K168" t="str">
            <v>Civil Not Started</v>
          </cell>
        </row>
        <row r="169">
          <cell r="B169" t="str">
            <v>ASH3</v>
          </cell>
          <cell r="C169" t="str">
            <v>FSAM</v>
          </cell>
          <cell r="D169" t="str">
            <v>QLD</v>
          </cell>
          <cell r="E169" t="str">
            <v>QLD Metro</v>
          </cell>
          <cell r="F169" t="str">
            <v>Jonathan Cogan</v>
          </cell>
          <cell r="G169">
            <v>0.01</v>
          </cell>
          <cell r="H169">
            <v>0</v>
          </cell>
          <cell r="I169">
            <v>1E-3</v>
          </cell>
          <cell r="J169" t="str">
            <v>CI Received</v>
          </cell>
          <cell r="K169" t="str">
            <v>Civil Not Started</v>
          </cell>
        </row>
        <row r="170">
          <cell r="B170" t="str">
            <v>BBE1</v>
          </cell>
          <cell r="C170" t="str">
            <v>FSAM</v>
          </cell>
          <cell r="D170" t="str">
            <v>QLD</v>
          </cell>
          <cell r="E170" t="str">
            <v>QLD North</v>
          </cell>
          <cell r="F170" t="str">
            <v>Alan Bassett</v>
          </cell>
          <cell r="G170">
            <v>0.01</v>
          </cell>
          <cell r="H170">
            <v>0</v>
          </cell>
          <cell r="I170">
            <v>1E-3</v>
          </cell>
          <cell r="J170" t="str">
            <v>CI Received</v>
          </cell>
          <cell r="K170" t="str">
            <v>Civil Not Started</v>
          </cell>
        </row>
        <row r="171">
          <cell r="B171" t="str">
            <v>CAI5</v>
          </cell>
          <cell r="C171" t="str">
            <v>FSAM</v>
          </cell>
          <cell r="D171" t="str">
            <v>QLD</v>
          </cell>
          <cell r="E171" t="str">
            <v>QLD North</v>
          </cell>
          <cell r="F171" t="str">
            <v>Sunil Nair</v>
          </cell>
          <cell r="G171">
            <v>0.01</v>
          </cell>
          <cell r="H171">
            <v>0</v>
          </cell>
          <cell r="I171">
            <v>1E-3</v>
          </cell>
          <cell r="J171" t="str">
            <v>CI Received</v>
          </cell>
          <cell r="K171" t="str">
            <v>Civil Not Started</v>
          </cell>
        </row>
        <row r="172">
          <cell r="B172" t="str">
            <v>GDN7</v>
          </cell>
          <cell r="C172" t="str">
            <v>FSAM</v>
          </cell>
          <cell r="D172" t="str">
            <v>QLD</v>
          </cell>
          <cell r="E172" t="str">
            <v>QLD Metro</v>
          </cell>
          <cell r="F172" t="str">
            <v>Jonathan Cogan</v>
          </cell>
          <cell r="G172">
            <v>0.01</v>
          </cell>
          <cell r="H172">
            <v>0</v>
          </cell>
          <cell r="I172">
            <v>1E-3</v>
          </cell>
          <cell r="J172" t="str">
            <v>CI Received</v>
          </cell>
          <cell r="K172" t="str">
            <v>Civil Not Started</v>
          </cell>
        </row>
        <row r="173">
          <cell r="B173" t="str">
            <v>GDN8</v>
          </cell>
          <cell r="C173" t="str">
            <v>FSAM</v>
          </cell>
          <cell r="D173" t="str">
            <v>QLD</v>
          </cell>
          <cell r="E173" t="str">
            <v>QLD Metro</v>
          </cell>
          <cell r="F173" t="str">
            <v>Jonathan Cogan</v>
          </cell>
          <cell r="G173">
            <v>0.01</v>
          </cell>
          <cell r="H173">
            <v>0</v>
          </cell>
          <cell r="I173">
            <v>1E-3</v>
          </cell>
          <cell r="J173" t="str">
            <v>CI Received</v>
          </cell>
          <cell r="K173" t="str">
            <v>Civil Not Started</v>
          </cell>
        </row>
        <row r="174">
          <cell r="B174" t="str">
            <v>KLG4</v>
          </cell>
          <cell r="C174" t="str">
            <v>FSAM</v>
          </cell>
          <cell r="D174" t="str">
            <v>QLD</v>
          </cell>
          <cell r="E174" t="str">
            <v>QLD Metro</v>
          </cell>
          <cell r="F174" t="str">
            <v>Jonathan Cogan</v>
          </cell>
          <cell r="G174">
            <v>0.01</v>
          </cell>
          <cell r="H174">
            <v>0</v>
          </cell>
          <cell r="I174">
            <v>1E-3</v>
          </cell>
          <cell r="J174" t="str">
            <v>CI Received</v>
          </cell>
          <cell r="K174" t="str">
            <v>Civil Not Started</v>
          </cell>
        </row>
        <row r="175">
          <cell r="B175" t="str">
            <v>ROT1</v>
          </cell>
          <cell r="C175" t="str">
            <v>FSAM</v>
          </cell>
          <cell r="D175" t="str">
            <v>QLD</v>
          </cell>
          <cell r="E175" t="str">
            <v>QLD South</v>
          </cell>
          <cell r="F175" t="str">
            <v>Alan Bassett</v>
          </cell>
          <cell r="G175">
            <v>0.01</v>
          </cell>
          <cell r="H175">
            <v>0</v>
          </cell>
          <cell r="I175">
            <v>1E-3</v>
          </cell>
          <cell r="J175" t="str">
            <v>CI Received</v>
          </cell>
          <cell r="K175" t="str">
            <v>Civil Not Started</v>
          </cell>
        </row>
        <row r="176">
          <cell r="B176" t="str">
            <v>ROT2</v>
          </cell>
          <cell r="C176" t="str">
            <v>FSAM</v>
          </cell>
          <cell r="D176" t="str">
            <v>QLD</v>
          </cell>
          <cell r="E176" t="str">
            <v>QLD South</v>
          </cell>
          <cell r="F176" t="str">
            <v>Alan Bassett</v>
          </cell>
          <cell r="G176">
            <v>0.01</v>
          </cell>
          <cell r="H176">
            <v>0</v>
          </cell>
          <cell r="I176">
            <v>1E-3</v>
          </cell>
          <cell r="J176" t="str">
            <v>CI Received</v>
          </cell>
          <cell r="K176" t="str">
            <v>Civil Not Started</v>
          </cell>
        </row>
        <row r="177">
          <cell r="B177" t="str">
            <v>ROT3</v>
          </cell>
          <cell r="C177" t="str">
            <v>FSAM</v>
          </cell>
          <cell r="D177" t="str">
            <v>QLD</v>
          </cell>
          <cell r="E177" t="str">
            <v>QLD South</v>
          </cell>
          <cell r="F177" t="str">
            <v>Alan Bassett</v>
          </cell>
          <cell r="G177">
            <v>0.01</v>
          </cell>
          <cell r="H177">
            <v>0</v>
          </cell>
          <cell r="I177">
            <v>1E-3</v>
          </cell>
          <cell r="J177" t="str">
            <v>CI Received</v>
          </cell>
          <cell r="K177" t="str">
            <v>Civil Not Started</v>
          </cell>
        </row>
        <row r="178">
          <cell r="B178" t="str">
            <v>SGI1</v>
          </cell>
          <cell r="C178" t="str">
            <v>FSAM</v>
          </cell>
          <cell r="D178" t="str">
            <v>QLD</v>
          </cell>
          <cell r="E178" t="str">
            <v>QLD Metro</v>
          </cell>
          <cell r="F178" t="str">
            <v>Jonathan Cogan</v>
          </cell>
          <cell r="G178">
            <v>0.01</v>
          </cell>
          <cell r="H178">
            <v>0</v>
          </cell>
          <cell r="I178">
            <v>1E-3</v>
          </cell>
          <cell r="J178" t="str">
            <v>CI Received</v>
          </cell>
          <cell r="K178" t="str">
            <v>Civil Not Started</v>
          </cell>
        </row>
        <row r="179">
          <cell r="B179" t="str">
            <v>SLA1</v>
          </cell>
          <cell r="C179" t="str">
            <v>FSAM</v>
          </cell>
          <cell r="D179" t="str">
            <v>QLD</v>
          </cell>
          <cell r="E179" t="str">
            <v>QLD Metro</v>
          </cell>
          <cell r="F179" t="str">
            <v>Jonathan Cogan</v>
          </cell>
          <cell r="G179">
            <v>0.01</v>
          </cell>
          <cell r="H179">
            <v>0</v>
          </cell>
          <cell r="I179">
            <v>1E-3</v>
          </cell>
          <cell r="J179" t="str">
            <v>CI Received</v>
          </cell>
          <cell r="K179" t="str">
            <v>Civil Not Started</v>
          </cell>
        </row>
        <row r="180">
          <cell r="B180" t="str">
            <v>SLA2</v>
          </cell>
          <cell r="C180" t="str">
            <v>FSAM</v>
          </cell>
          <cell r="D180" t="str">
            <v>QLD</v>
          </cell>
          <cell r="E180" t="str">
            <v>QLD Metro</v>
          </cell>
          <cell r="F180" t="str">
            <v>Jonathan Cogan</v>
          </cell>
          <cell r="G180">
            <v>0.01</v>
          </cell>
          <cell r="H180">
            <v>0</v>
          </cell>
          <cell r="I180">
            <v>1E-3</v>
          </cell>
          <cell r="J180" t="str">
            <v>CI Received</v>
          </cell>
          <cell r="K180" t="str">
            <v>Civil Not Started</v>
          </cell>
        </row>
        <row r="181">
          <cell r="B181" t="str">
            <v>SLA3</v>
          </cell>
          <cell r="C181" t="str">
            <v>FSAM</v>
          </cell>
          <cell r="D181" t="str">
            <v>QLD</v>
          </cell>
          <cell r="E181" t="str">
            <v>QLD Metro</v>
          </cell>
          <cell r="F181" t="str">
            <v>Jonathan Cogan</v>
          </cell>
          <cell r="G181">
            <v>0.01</v>
          </cell>
          <cell r="H181">
            <v>0</v>
          </cell>
          <cell r="I181">
            <v>1E-3</v>
          </cell>
          <cell r="J181" t="str">
            <v>CI Received</v>
          </cell>
          <cell r="K181" t="str">
            <v>Civil Not Started</v>
          </cell>
        </row>
        <row r="182">
          <cell r="B182" t="str">
            <v>CVI3</v>
          </cell>
          <cell r="C182" t="str">
            <v>FSAM</v>
          </cell>
          <cell r="D182" t="str">
            <v>NSW</v>
          </cell>
          <cell r="E182" t="str">
            <v>NSW South / ACT</v>
          </cell>
          <cell r="F182" t="str">
            <v>James Herden</v>
          </cell>
          <cell r="G182">
            <v>0.5</v>
          </cell>
          <cell r="H182">
            <v>0</v>
          </cell>
          <cell r="I182">
            <v>0.05</v>
          </cell>
          <cell r="J182" t="str">
            <v>Gate 1 Submitted</v>
          </cell>
          <cell r="K182" t="str">
            <v>Civil Not Started</v>
          </cell>
        </row>
        <row r="183">
          <cell r="B183" t="str">
            <v>CVI4</v>
          </cell>
          <cell r="C183" t="str">
            <v>FSAM</v>
          </cell>
          <cell r="D183" t="str">
            <v>NSW</v>
          </cell>
          <cell r="E183" t="str">
            <v>NSW South / ACT</v>
          </cell>
          <cell r="F183" t="str">
            <v>Steven Blewitt</v>
          </cell>
          <cell r="G183">
            <v>0.01</v>
          </cell>
          <cell r="H183">
            <v>0</v>
          </cell>
          <cell r="I183">
            <v>1E-3</v>
          </cell>
          <cell r="J183" t="str">
            <v>CI Received</v>
          </cell>
          <cell r="K183" t="str">
            <v>Civil Not Started</v>
          </cell>
        </row>
        <row r="184">
          <cell r="B184" t="str">
            <v>CVI5</v>
          </cell>
          <cell r="C184" t="str">
            <v>FSAM</v>
          </cell>
          <cell r="D184" t="str">
            <v>NSW</v>
          </cell>
          <cell r="E184" t="str">
            <v>NSW South / ACT</v>
          </cell>
          <cell r="F184" t="str">
            <v>Steven Blewitt</v>
          </cell>
          <cell r="G184">
            <v>0.01</v>
          </cell>
          <cell r="H184">
            <v>0</v>
          </cell>
          <cell r="I184">
            <v>1E-3</v>
          </cell>
          <cell r="J184" t="str">
            <v>CI Received</v>
          </cell>
          <cell r="K184" t="str">
            <v>Civil Not Started</v>
          </cell>
        </row>
        <row r="185">
          <cell r="B185" t="str">
            <v>CVI6</v>
          </cell>
          <cell r="C185" t="str">
            <v>FSAM</v>
          </cell>
          <cell r="D185" t="str">
            <v>NSW</v>
          </cell>
          <cell r="E185" t="str">
            <v>NSW South / ACT</v>
          </cell>
          <cell r="F185" t="str">
            <v>Damien Marov</v>
          </cell>
          <cell r="G185">
            <v>0.01</v>
          </cell>
          <cell r="H185">
            <v>0</v>
          </cell>
          <cell r="I185">
            <v>1E-3</v>
          </cell>
          <cell r="J185" t="str">
            <v>CI Received</v>
          </cell>
          <cell r="K185" t="str">
            <v>Civil Not Started</v>
          </cell>
        </row>
        <row r="186">
          <cell r="B186" t="str">
            <v>QBN4</v>
          </cell>
          <cell r="C186" t="str">
            <v>FSAM</v>
          </cell>
          <cell r="D186" t="str">
            <v>NSW</v>
          </cell>
          <cell r="E186" t="str">
            <v>NSW South / ACT</v>
          </cell>
          <cell r="F186" t="str">
            <v>Steven Blewitt</v>
          </cell>
          <cell r="G186">
            <v>0.01</v>
          </cell>
          <cell r="H186">
            <v>0</v>
          </cell>
          <cell r="I186">
            <v>1E-3</v>
          </cell>
          <cell r="J186" t="str">
            <v>CI Received</v>
          </cell>
          <cell r="K186" t="str">
            <v>Civil Not Started</v>
          </cell>
        </row>
        <row r="187">
          <cell r="B187" t="str">
            <v>TNS7</v>
          </cell>
          <cell r="C187" t="str">
            <v>FSAM</v>
          </cell>
          <cell r="D187" t="str">
            <v>QLD</v>
          </cell>
          <cell r="E187" t="str">
            <v>QLD North</v>
          </cell>
          <cell r="F187" t="str">
            <v>Sunil Nair</v>
          </cell>
          <cell r="G187">
            <v>0</v>
          </cell>
          <cell r="H187">
            <v>0</v>
          </cell>
          <cell r="I187">
            <v>0</v>
          </cell>
          <cell r="J187" t="str">
            <v>CI Not Received</v>
          </cell>
          <cell r="K187" t="str">
            <v>Civil Not Started</v>
          </cell>
        </row>
        <row r="188">
          <cell r="B188" t="str">
            <v>HOM5</v>
          </cell>
          <cell r="C188" t="str">
            <v>FSAM</v>
          </cell>
          <cell r="D188" t="str">
            <v>NSW</v>
          </cell>
          <cell r="E188" t="str">
            <v>Sydney East</v>
          </cell>
          <cell r="F188" t="str">
            <v>Adam Walsh</v>
          </cell>
          <cell r="G188">
            <v>0</v>
          </cell>
          <cell r="H188">
            <v>0</v>
          </cell>
          <cell r="I188">
            <v>0</v>
          </cell>
          <cell r="J188" t="str">
            <v>CI Not Received</v>
          </cell>
          <cell r="K188" t="str">
            <v>Civil Not Started</v>
          </cell>
        </row>
        <row r="189">
          <cell r="B189" t="str">
            <v>WLG8</v>
          </cell>
          <cell r="C189" t="str">
            <v>FSAM</v>
          </cell>
          <cell r="D189" t="str">
            <v>NSW</v>
          </cell>
          <cell r="E189" t="str">
            <v>NSW South / ACT</v>
          </cell>
          <cell r="F189" t="str">
            <v>Steven Blewitt</v>
          </cell>
          <cell r="G189">
            <v>0</v>
          </cell>
          <cell r="H189">
            <v>0</v>
          </cell>
          <cell r="I189">
            <v>0</v>
          </cell>
          <cell r="J189" t="str">
            <v>CI Not Received</v>
          </cell>
          <cell r="K189" t="str">
            <v>Civil Not Started</v>
          </cell>
        </row>
        <row r="190">
          <cell r="B190" t="str">
            <v>BLC1</v>
          </cell>
          <cell r="C190" t="str">
            <v>FSAM</v>
          </cell>
          <cell r="D190" t="str">
            <v>NSW</v>
          </cell>
          <cell r="E190" t="str">
            <v>NSW South / ACT</v>
          </cell>
          <cell r="F190" t="str">
            <v>Steven Blewitt</v>
          </cell>
          <cell r="G190">
            <v>0</v>
          </cell>
          <cell r="H190">
            <v>0</v>
          </cell>
          <cell r="I190">
            <v>0</v>
          </cell>
          <cell r="J190" t="str">
            <v>CI Not Received</v>
          </cell>
          <cell r="K190" t="str">
            <v>Civil Not Started</v>
          </cell>
        </row>
        <row r="191">
          <cell r="B191" t="str">
            <v>BLC4</v>
          </cell>
          <cell r="C191" t="str">
            <v>FSAM</v>
          </cell>
          <cell r="D191" t="str">
            <v>NSW</v>
          </cell>
          <cell r="E191" t="str">
            <v>NSW South / ACT</v>
          </cell>
          <cell r="F191" t="str">
            <v>Steven Blewitt</v>
          </cell>
          <cell r="G191">
            <v>0</v>
          </cell>
          <cell r="H191">
            <v>0</v>
          </cell>
          <cell r="I191">
            <v>0</v>
          </cell>
          <cell r="J191" t="str">
            <v>CI Not Received</v>
          </cell>
          <cell r="K191" t="str">
            <v>Civil Not Started</v>
          </cell>
        </row>
        <row r="192">
          <cell r="B192" t="str">
            <v>WLG9</v>
          </cell>
          <cell r="C192" t="str">
            <v>FSAM</v>
          </cell>
          <cell r="D192" t="str">
            <v>NSW</v>
          </cell>
          <cell r="E192" t="str">
            <v>NSW South / ACT</v>
          </cell>
          <cell r="F192" t="str">
            <v>Steven Blewitt</v>
          </cell>
          <cell r="G192">
            <v>0</v>
          </cell>
          <cell r="H192">
            <v>0</v>
          </cell>
          <cell r="I192">
            <v>0</v>
          </cell>
          <cell r="J192" t="str">
            <v>CI Not Received</v>
          </cell>
          <cell r="K192" t="str">
            <v>Civil Not Started</v>
          </cell>
        </row>
        <row r="193">
          <cell r="B193" t="str">
            <v>BLC3</v>
          </cell>
          <cell r="C193" t="str">
            <v>FSAM</v>
          </cell>
          <cell r="D193" t="str">
            <v>NSW</v>
          </cell>
          <cell r="E193" t="str">
            <v>NSW South / ACT</v>
          </cell>
          <cell r="F193" t="str">
            <v>Steven Blewitt</v>
          </cell>
          <cell r="G193">
            <v>0</v>
          </cell>
          <cell r="H193">
            <v>0</v>
          </cell>
          <cell r="I193">
            <v>0</v>
          </cell>
          <cell r="J193" t="str">
            <v>CI Not Received</v>
          </cell>
          <cell r="K193" t="str">
            <v>Civil Not Started</v>
          </cell>
        </row>
        <row r="194">
          <cell r="B194" t="str">
            <v>GRN1</v>
          </cell>
          <cell r="C194" t="str">
            <v>FSAM</v>
          </cell>
          <cell r="D194" t="str">
            <v>NSW</v>
          </cell>
          <cell r="E194" t="str">
            <v>NSW North</v>
          </cell>
          <cell r="F194" t="str">
            <v>James Herden</v>
          </cell>
          <cell r="G194">
            <v>0</v>
          </cell>
          <cell r="H194">
            <v>0</v>
          </cell>
          <cell r="I194">
            <v>0</v>
          </cell>
          <cell r="J194" t="str">
            <v>CI Not Received</v>
          </cell>
          <cell r="K194" t="str">
            <v>Civil Not Started</v>
          </cell>
        </row>
        <row r="195">
          <cell r="B195" t="str">
            <v>SOP2</v>
          </cell>
          <cell r="C195" t="str">
            <v>FSAM</v>
          </cell>
          <cell r="D195" t="str">
            <v>QLD</v>
          </cell>
          <cell r="E195" t="str">
            <v>QLD Metro</v>
          </cell>
          <cell r="F195" t="str">
            <v>Jonathan Cogan</v>
          </cell>
          <cell r="G195">
            <v>0</v>
          </cell>
          <cell r="H195">
            <v>0</v>
          </cell>
          <cell r="I195">
            <v>0</v>
          </cell>
          <cell r="J195" t="str">
            <v>CI Not Received</v>
          </cell>
          <cell r="K195" t="str">
            <v>Civil Not Started</v>
          </cell>
        </row>
        <row r="196">
          <cell r="B196" t="str">
            <v>TNS8</v>
          </cell>
          <cell r="C196" t="str">
            <v>FSAM</v>
          </cell>
          <cell r="D196" t="str">
            <v>QLD</v>
          </cell>
          <cell r="E196" t="str">
            <v>QLD North</v>
          </cell>
          <cell r="F196" t="str">
            <v>Sunil Nair</v>
          </cell>
          <cell r="G196">
            <v>0</v>
          </cell>
          <cell r="H196">
            <v>0</v>
          </cell>
          <cell r="I196">
            <v>0</v>
          </cell>
          <cell r="J196" t="str">
            <v>CI Not Received</v>
          </cell>
          <cell r="K196" t="str">
            <v>Civil Not Started</v>
          </cell>
        </row>
        <row r="197">
          <cell r="B197" t="str">
            <v>BLC2</v>
          </cell>
          <cell r="C197" t="str">
            <v>FSAM</v>
          </cell>
          <cell r="D197" t="str">
            <v>NSW</v>
          </cell>
          <cell r="E197" t="str">
            <v>NSW South / ACT</v>
          </cell>
          <cell r="F197" t="str">
            <v>Steven Blewitt</v>
          </cell>
          <cell r="G197">
            <v>0</v>
          </cell>
          <cell r="H197">
            <v>0</v>
          </cell>
          <cell r="I197">
            <v>0</v>
          </cell>
          <cell r="J197" t="str">
            <v>CI Not Received</v>
          </cell>
          <cell r="K197" t="str">
            <v>Civil Not Started</v>
          </cell>
        </row>
        <row r="198">
          <cell r="B198" t="str">
            <v>CAS3</v>
          </cell>
          <cell r="C198" t="str">
            <v>FSAM</v>
          </cell>
          <cell r="D198" t="str">
            <v>NSW</v>
          </cell>
          <cell r="E198" t="str">
            <v>Sydney East</v>
          </cell>
          <cell r="F198" t="str">
            <v>Adam Walsh</v>
          </cell>
          <cell r="G198">
            <v>0</v>
          </cell>
          <cell r="H198">
            <v>0</v>
          </cell>
          <cell r="I198">
            <v>0</v>
          </cell>
          <cell r="J198" t="str">
            <v>CI Not Received</v>
          </cell>
          <cell r="K198" t="str">
            <v>Civil Not Started</v>
          </cell>
        </row>
        <row r="199">
          <cell r="B199" t="str">
            <v>GRN2</v>
          </cell>
          <cell r="C199" t="str">
            <v>FSAM</v>
          </cell>
          <cell r="D199" t="str">
            <v>NSW</v>
          </cell>
          <cell r="E199" t="str">
            <v>NSW North</v>
          </cell>
          <cell r="F199" t="str">
            <v>James Herden</v>
          </cell>
          <cell r="G199">
            <v>0</v>
          </cell>
          <cell r="H199">
            <v>0</v>
          </cell>
          <cell r="I199">
            <v>0</v>
          </cell>
          <cell r="J199" t="str">
            <v>CI Not Received</v>
          </cell>
          <cell r="K199" t="str">
            <v>Civil Not Started</v>
          </cell>
        </row>
        <row r="200">
          <cell r="B200" t="str">
            <v>GRN3</v>
          </cell>
          <cell r="C200" t="str">
            <v>FSAM</v>
          </cell>
          <cell r="D200" t="str">
            <v>NSW</v>
          </cell>
          <cell r="E200" t="str">
            <v>NSW North</v>
          </cell>
          <cell r="F200" t="str">
            <v>James Herden</v>
          </cell>
          <cell r="G200">
            <v>0</v>
          </cell>
          <cell r="H200">
            <v>0</v>
          </cell>
          <cell r="I200">
            <v>0</v>
          </cell>
          <cell r="J200" t="str">
            <v>CI Not Received</v>
          </cell>
          <cell r="K200" t="str">
            <v>Civil Not Started</v>
          </cell>
        </row>
        <row r="201">
          <cell r="B201" t="str">
            <v>HOM6</v>
          </cell>
          <cell r="C201" t="str">
            <v>FSAM</v>
          </cell>
          <cell r="D201" t="str">
            <v>NSW</v>
          </cell>
          <cell r="E201" t="str">
            <v>Sydney East</v>
          </cell>
          <cell r="F201" t="str">
            <v>Adam Walsh</v>
          </cell>
          <cell r="G201">
            <v>0</v>
          </cell>
          <cell r="H201">
            <v>0</v>
          </cell>
          <cell r="I201">
            <v>0</v>
          </cell>
          <cell r="J201" t="str">
            <v>CI Not Received</v>
          </cell>
          <cell r="K201" t="str">
            <v>Civil Not Started</v>
          </cell>
        </row>
        <row r="202">
          <cell r="B202" t="str">
            <v>MAI7</v>
          </cell>
          <cell r="C202" t="str">
            <v>FSAM</v>
          </cell>
          <cell r="D202" t="str">
            <v>NSW</v>
          </cell>
          <cell r="E202" t="str">
            <v>NSW North</v>
          </cell>
          <cell r="F202" t="str">
            <v>James Herden</v>
          </cell>
          <cell r="G202">
            <v>0</v>
          </cell>
          <cell r="H202">
            <v>0</v>
          </cell>
          <cell r="I202">
            <v>0</v>
          </cell>
          <cell r="J202" t="str">
            <v>CI Not Received</v>
          </cell>
          <cell r="K202" t="str">
            <v>Civil Not Started</v>
          </cell>
        </row>
        <row r="203">
          <cell r="B203" t="str">
            <v>PTH8</v>
          </cell>
          <cell r="C203" t="str">
            <v>FSAM</v>
          </cell>
          <cell r="D203" t="str">
            <v>NSW</v>
          </cell>
          <cell r="E203" t="str">
            <v>Sydney West</v>
          </cell>
          <cell r="F203" t="str">
            <v>Damien Marov</v>
          </cell>
          <cell r="G203">
            <v>0</v>
          </cell>
          <cell r="H203">
            <v>0</v>
          </cell>
          <cell r="I203">
            <v>0</v>
          </cell>
          <cell r="J203" t="str">
            <v>CI Not Received</v>
          </cell>
          <cell r="K203" t="str">
            <v>Civil Not Started</v>
          </cell>
        </row>
        <row r="204">
          <cell r="B204" t="str">
            <v>EDG1</v>
          </cell>
          <cell r="C204" t="str">
            <v>FSAM</v>
          </cell>
          <cell r="D204" t="str">
            <v>QLD</v>
          </cell>
          <cell r="E204" t="str">
            <v>QLD North</v>
          </cell>
          <cell r="F204" t="str">
            <v>Sunil Nair</v>
          </cell>
          <cell r="G204">
            <v>0</v>
          </cell>
          <cell r="H204">
            <v>0</v>
          </cell>
          <cell r="I204">
            <v>0</v>
          </cell>
          <cell r="J204" t="str">
            <v>CI Not Received</v>
          </cell>
          <cell r="K204" t="str">
            <v>Civil Not Started</v>
          </cell>
        </row>
        <row r="205">
          <cell r="B205" t="str">
            <v>EDG2</v>
          </cell>
          <cell r="C205" t="str">
            <v>FSAM</v>
          </cell>
          <cell r="D205" t="str">
            <v>QLD</v>
          </cell>
          <cell r="E205" t="str">
            <v>QLD North</v>
          </cell>
          <cell r="F205" t="str">
            <v>Sunil Nair</v>
          </cell>
          <cell r="G205">
            <v>0</v>
          </cell>
          <cell r="H205">
            <v>0</v>
          </cell>
          <cell r="I205">
            <v>0</v>
          </cell>
          <cell r="J205" t="str">
            <v>CI Not Received</v>
          </cell>
          <cell r="K205" t="str">
            <v>Civil Not Started</v>
          </cell>
        </row>
        <row r="206">
          <cell r="B206" t="str">
            <v>KLG6</v>
          </cell>
          <cell r="C206" t="str">
            <v>FSAM</v>
          </cell>
          <cell r="D206" t="str">
            <v>QLD</v>
          </cell>
          <cell r="E206" t="str">
            <v>QLD Metro</v>
          </cell>
          <cell r="F206" t="str">
            <v>Jonathan Cogan</v>
          </cell>
          <cell r="G206">
            <v>0</v>
          </cell>
          <cell r="H206">
            <v>0</v>
          </cell>
          <cell r="I206">
            <v>0</v>
          </cell>
          <cell r="J206" t="str">
            <v>CI Not Received</v>
          </cell>
          <cell r="K206" t="str">
            <v>Civil Not Started</v>
          </cell>
        </row>
        <row r="207">
          <cell r="B207" t="str">
            <v>SLA6</v>
          </cell>
          <cell r="C207" t="str">
            <v>FSAM</v>
          </cell>
          <cell r="D207" t="str">
            <v>QLD</v>
          </cell>
          <cell r="E207" t="str">
            <v>QLD Metro</v>
          </cell>
          <cell r="F207" t="str">
            <v>Jonathan Cogan</v>
          </cell>
          <cell r="G207">
            <v>0</v>
          </cell>
          <cell r="H207">
            <v>0</v>
          </cell>
          <cell r="I207">
            <v>0</v>
          </cell>
          <cell r="J207" t="str">
            <v>CI Not Received</v>
          </cell>
          <cell r="K207" t="str">
            <v>Civil Not Started</v>
          </cell>
        </row>
        <row r="208">
          <cell r="B208" t="str">
            <v>SOP1</v>
          </cell>
          <cell r="C208" t="str">
            <v>FSAM</v>
          </cell>
          <cell r="D208" t="str">
            <v>QLD</v>
          </cell>
          <cell r="E208" t="str">
            <v>QLD Metro</v>
          </cell>
          <cell r="F208" t="str">
            <v>Jonathan Cogan</v>
          </cell>
          <cell r="G208">
            <v>0</v>
          </cell>
          <cell r="H208">
            <v>0</v>
          </cell>
          <cell r="I208">
            <v>0</v>
          </cell>
          <cell r="J208" t="str">
            <v>CI Not Received</v>
          </cell>
          <cell r="K208" t="str">
            <v>Civil Not Started</v>
          </cell>
        </row>
        <row r="209">
          <cell r="B209" t="str">
            <v>TNS9</v>
          </cell>
          <cell r="C209" t="str">
            <v>FSAM</v>
          </cell>
          <cell r="D209" t="str">
            <v>QLD</v>
          </cell>
          <cell r="E209" t="str">
            <v>QLD North</v>
          </cell>
          <cell r="F209" t="str">
            <v>Sunil Nair</v>
          </cell>
          <cell r="G209">
            <v>0</v>
          </cell>
          <cell r="H209">
            <v>0</v>
          </cell>
          <cell r="I209">
            <v>0</v>
          </cell>
          <cell r="J209" t="str">
            <v>CI Not Received</v>
          </cell>
          <cell r="K209" t="str">
            <v>Civil Not Started</v>
          </cell>
        </row>
        <row r="210">
          <cell r="B210" t="str">
            <v>CAS1</v>
          </cell>
          <cell r="C210" t="str">
            <v>FSAM</v>
          </cell>
          <cell r="D210" t="str">
            <v>NSW</v>
          </cell>
          <cell r="E210" t="str">
            <v>Sydney East</v>
          </cell>
          <cell r="F210" t="str">
            <v>Adam Walsh</v>
          </cell>
          <cell r="G210">
            <v>0</v>
          </cell>
          <cell r="H210">
            <v>0</v>
          </cell>
          <cell r="I210">
            <v>0</v>
          </cell>
          <cell r="J210" t="str">
            <v>CI Not Received</v>
          </cell>
          <cell r="K210" t="str">
            <v>Civil Not Started</v>
          </cell>
        </row>
        <row r="211">
          <cell r="B211" t="str">
            <v>CAS2</v>
          </cell>
          <cell r="C211" t="str">
            <v>FSAM</v>
          </cell>
          <cell r="D211" t="str">
            <v>NSW</v>
          </cell>
          <cell r="E211" t="str">
            <v>Sydney East</v>
          </cell>
          <cell r="F211" t="str">
            <v>Adam Walsh</v>
          </cell>
          <cell r="G211">
            <v>0</v>
          </cell>
          <cell r="H211">
            <v>0</v>
          </cell>
          <cell r="I211">
            <v>0</v>
          </cell>
          <cell r="J211" t="str">
            <v>CI Not Received</v>
          </cell>
          <cell r="K211" t="str">
            <v>Civil Not Started</v>
          </cell>
        </row>
        <row r="212">
          <cell r="B212" t="str">
            <v>LIV5</v>
          </cell>
          <cell r="C212" t="str">
            <v>FSAM</v>
          </cell>
          <cell r="D212" t="str">
            <v>NSW</v>
          </cell>
          <cell r="E212" t="str">
            <v>Sydney West</v>
          </cell>
          <cell r="F212" t="str">
            <v>Damien Marov</v>
          </cell>
          <cell r="G212">
            <v>0</v>
          </cell>
          <cell r="H212">
            <v>0</v>
          </cell>
          <cell r="I212">
            <v>0</v>
          </cell>
          <cell r="J212" t="str">
            <v>CI Not Received</v>
          </cell>
          <cell r="K212" t="str">
            <v>Civil Not Started</v>
          </cell>
        </row>
        <row r="213">
          <cell r="B213" t="str">
            <v>RYD1</v>
          </cell>
          <cell r="C213" t="str">
            <v>FSAM</v>
          </cell>
          <cell r="D213" t="str">
            <v>NSW</v>
          </cell>
          <cell r="E213" t="str">
            <v>Sydney East</v>
          </cell>
          <cell r="F213" t="str">
            <v>Adam Walsh</v>
          </cell>
          <cell r="G213">
            <v>0</v>
          </cell>
          <cell r="H213">
            <v>0</v>
          </cell>
          <cell r="I213">
            <v>0</v>
          </cell>
          <cell r="J213" t="str">
            <v>CI Not Received</v>
          </cell>
          <cell r="K213" t="str">
            <v>Civil Not Started</v>
          </cell>
        </row>
        <row r="214">
          <cell r="B214" t="str">
            <v>RYD2</v>
          </cell>
          <cell r="C214" t="str">
            <v>FSAM</v>
          </cell>
          <cell r="D214" t="str">
            <v>NSW</v>
          </cell>
          <cell r="E214" t="str">
            <v>Sydney East</v>
          </cell>
          <cell r="F214" t="str">
            <v>Adam Walsh</v>
          </cell>
          <cell r="G214">
            <v>0</v>
          </cell>
          <cell r="H214">
            <v>0</v>
          </cell>
          <cell r="I214">
            <v>0</v>
          </cell>
          <cell r="J214" t="str">
            <v>CI Not Received</v>
          </cell>
          <cell r="K214" t="str">
            <v>Civil Not Started</v>
          </cell>
        </row>
        <row r="215">
          <cell r="B215" t="str">
            <v>EDG3</v>
          </cell>
          <cell r="C215" t="str">
            <v>FSAM</v>
          </cell>
          <cell r="D215" t="str">
            <v>QLD</v>
          </cell>
          <cell r="E215" t="str">
            <v>QLD North</v>
          </cell>
          <cell r="F215" t="str">
            <v>Sunil Nair</v>
          </cell>
          <cell r="G215">
            <v>0</v>
          </cell>
          <cell r="H215">
            <v>0</v>
          </cell>
          <cell r="I215">
            <v>0</v>
          </cell>
          <cell r="J215" t="str">
            <v>CI Not Received</v>
          </cell>
          <cell r="K215" t="str">
            <v>Civil Not Started</v>
          </cell>
        </row>
        <row r="216">
          <cell r="B216" t="str">
            <v>FRE1</v>
          </cell>
          <cell r="C216" t="str">
            <v>FSAM</v>
          </cell>
          <cell r="D216" t="str">
            <v>QLD</v>
          </cell>
          <cell r="E216" t="str">
            <v>QLD North</v>
          </cell>
          <cell r="F216" t="str">
            <v>Sunil Nair</v>
          </cell>
          <cell r="G216">
            <v>0</v>
          </cell>
          <cell r="H216">
            <v>0</v>
          </cell>
          <cell r="I216">
            <v>0</v>
          </cell>
          <cell r="J216" t="str">
            <v>CI Not Received</v>
          </cell>
          <cell r="K216" t="str">
            <v>Civil Not Started</v>
          </cell>
        </row>
        <row r="217">
          <cell r="B217" t="str">
            <v>TEE6</v>
          </cell>
          <cell r="C217" t="str">
            <v>FSAM</v>
          </cell>
          <cell r="D217" t="str">
            <v>NSW</v>
          </cell>
          <cell r="E217" t="str">
            <v>NSW North</v>
          </cell>
          <cell r="F217" t="str">
            <v>James Herden</v>
          </cell>
          <cell r="G217">
            <v>0</v>
          </cell>
          <cell r="H217">
            <v>0</v>
          </cell>
          <cell r="I217">
            <v>0</v>
          </cell>
          <cell r="J217" t="str">
            <v>CI Not Received</v>
          </cell>
          <cell r="K217" t="str">
            <v>Civil Not Started</v>
          </cell>
        </row>
        <row r="218">
          <cell r="B218" t="str">
            <v>BIN1</v>
          </cell>
          <cell r="C218" t="str">
            <v>FSAM</v>
          </cell>
          <cell r="D218" t="str">
            <v>NSW</v>
          </cell>
          <cell r="E218" t="str">
            <v>NSW North</v>
          </cell>
          <cell r="F218" t="str">
            <v>James Herden</v>
          </cell>
          <cell r="G218">
            <v>0</v>
          </cell>
          <cell r="H218">
            <v>0</v>
          </cell>
          <cell r="I218">
            <v>0</v>
          </cell>
          <cell r="J218" t="str">
            <v>CI Not Received</v>
          </cell>
          <cell r="K218" t="str">
            <v>Civil Not Started</v>
          </cell>
        </row>
        <row r="219">
          <cell r="B219" t="str">
            <v>COR9</v>
          </cell>
          <cell r="C219" t="str">
            <v>FSAM</v>
          </cell>
          <cell r="D219" t="str">
            <v>NSW</v>
          </cell>
          <cell r="E219" t="str">
            <v>NSW South / ACT</v>
          </cell>
          <cell r="F219" t="str">
            <v>Steven Blewitt</v>
          </cell>
          <cell r="G219">
            <v>0</v>
          </cell>
          <cell r="H219">
            <v>0</v>
          </cell>
          <cell r="I219">
            <v>0</v>
          </cell>
          <cell r="J219" t="str">
            <v>CI Not Received</v>
          </cell>
          <cell r="K219" t="str">
            <v>Civil Not Started</v>
          </cell>
        </row>
        <row r="220">
          <cell r="B220" t="str">
            <v>LIV6</v>
          </cell>
          <cell r="C220" t="str">
            <v>FSAM</v>
          </cell>
          <cell r="D220" t="str">
            <v>NSW</v>
          </cell>
          <cell r="E220" t="str">
            <v>Sydney West</v>
          </cell>
          <cell r="F220" t="str">
            <v>Damien Marov</v>
          </cell>
          <cell r="G220">
            <v>0</v>
          </cell>
          <cell r="H220">
            <v>0</v>
          </cell>
          <cell r="I220">
            <v>0</v>
          </cell>
          <cell r="J220" t="str">
            <v>CI Not Received</v>
          </cell>
          <cell r="K220" t="str">
            <v>Civil Not Started</v>
          </cell>
        </row>
        <row r="221">
          <cell r="B221" t="str">
            <v>LIV7</v>
          </cell>
          <cell r="C221" t="str">
            <v>FSAM</v>
          </cell>
          <cell r="D221" t="str">
            <v>NSW</v>
          </cell>
          <cell r="E221" t="str">
            <v>Sydney West</v>
          </cell>
          <cell r="F221" t="str">
            <v>Damien Marov</v>
          </cell>
          <cell r="G221">
            <v>0</v>
          </cell>
          <cell r="H221">
            <v>0</v>
          </cell>
          <cell r="I221">
            <v>0</v>
          </cell>
          <cell r="J221" t="str">
            <v>CI Not Received</v>
          </cell>
          <cell r="K221" t="str">
            <v>Civil Not Started</v>
          </cell>
        </row>
        <row r="222">
          <cell r="B222" t="str">
            <v>PTH9</v>
          </cell>
          <cell r="C222" t="str">
            <v>FSAM</v>
          </cell>
          <cell r="D222" t="str">
            <v>NSW</v>
          </cell>
          <cell r="E222" t="str">
            <v>Sydney West</v>
          </cell>
          <cell r="F222" t="str">
            <v>Damien Marov</v>
          </cell>
          <cell r="G222">
            <v>0</v>
          </cell>
          <cell r="H222">
            <v>0</v>
          </cell>
          <cell r="I222">
            <v>0</v>
          </cell>
          <cell r="J222" t="str">
            <v>CI Not Received</v>
          </cell>
          <cell r="K222" t="str">
            <v>Civil Not Started</v>
          </cell>
        </row>
        <row r="223">
          <cell r="B223" t="str">
            <v>FRV1</v>
          </cell>
          <cell r="C223" t="str">
            <v>FSAM</v>
          </cell>
          <cell r="D223" t="str">
            <v>QLD</v>
          </cell>
          <cell r="E223" t="str">
            <v>QLD North</v>
          </cell>
          <cell r="F223" t="str">
            <v>Sunil Nair</v>
          </cell>
          <cell r="G223">
            <v>0</v>
          </cell>
          <cell r="H223">
            <v>0</v>
          </cell>
          <cell r="I223">
            <v>0</v>
          </cell>
          <cell r="J223" t="str">
            <v>CI Not Received</v>
          </cell>
          <cell r="K223" t="str">
            <v>Civil Not Started</v>
          </cell>
        </row>
        <row r="224">
          <cell r="B224" t="str">
            <v>MKY5</v>
          </cell>
          <cell r="C224" t="str">
            <v>FSAM</v>
          </cell>
          <cell r="D224" t="str">
            <v>QLD</v>
          </cell>
          <cell r="E224" t="str">
            <v>QLD North</v>
          </cell>
          <cell r="F224" t="str">
            <v>Sunil Nair</v>
          </cell>
          <cell r="G224">
            <v>0</v>
          </cell>
          <cell r="H224">
            <v>0</v>
          </cell>
          <cell r="I224">
            <v>0</v>
          </cell>
          <cell r="J224" t="str">
            <v>CI Not Received</v>
          </cell>
          <cell r="K224" t="str">
            <v>Civil Not Started</v>
          </cell>
        </row>
        <row r="225">
          <cell r="B225" t="str">
            <v>MKY6</v>
          </cell>
          <cell r="C225" t="str">
            <v>FSAM</v>
          </cell>
          <cell r="D225" t="str">
            <v>QLD</v>
          </cell>
          <cell r="E225" t="str">
            <v>QLD North</v>
          </cell>
          <cell r="F225" t="str">
            <v>Sunil Nair</v>
          </cell>
          <cell r="G225">
            <v>0</v>
          </cell>
          <cell r="H225">
            <v>0</v>
          </cell>
          <cell r="I225">
            <v>0</v>
          </cell>
          <cell r="J225" t="str">
            <v>CI Not Received</v>
          </cell>
          <cell r="K225" t="str">
            <v>Civil Not Started</v>
          </cell>
        </row>
        <row r="226">
          <cell r="B226" t="str">
            <v>RYD3</v>
          </cell>
          <cell r="C226" t="str">
            <v>FSAM</v>
          </cell>
          <cell r="D226" t="str">
            <v>NSW</v>
          </cell>
          <cell r="E226" t="str">
            <v>Sydney East</v>
          </cell>
          <cell r="F226" t="str">
            <v>Adam Walsh</v>
          </cell>
          <cell r="G226">
            <v>0</v>
          </cell>
          <cell r="H226">
            <v>0</v>
          </cell>
          <cell r="I226">
            <v>0</v>
          </cell>
          <cell r="J226" t="str">
            <v>CI Not Received</v>
          </cell>
          <cell r="K226" t="str">
            <v>Civil Not Started</v>
          </cell>
        </row>
        <row r="227">
          <cell r="B227" t="str">
            <v>LIV8</v>
          </cell>
          <cell r="C227" t="str">
            <v>FSAM</v>
          </cell>
          <cell r="D227" t="str">
            <v>NSW</v>
          </cell>
          <cell r="E227" t="str">
            <v>Sydney West</v>
          </cell>
          <cell r="F227" t="str">
            <v>Damien Marov</v>
          </cell>
          <cell r="G227">
            <v>0</v>
          </cell>
          <cell r="H227">
            <v>0</v>
          </cell>
          <cell r="I227">
            <v>0</v>
          </cell>
          <cell r="J227" t="str">
            <v>CI Not Received</v>
          </cell>
          <cell r="K227" t="str">
            <v>Civil Not Started</v>
          </cell>
        </row>
        <row r="228">
          <cell r="B228" t="str">
            <v>FRV2</v>
          </cell>
          <cell r="C228" t="str">
            <v>FSAM</v>
          </cell>
          <cell r="D228" t="str">
            <v>QLD</v>
          </cell>
          <cell r="E228" t="str">
            <v>QLD North</v>
          </cell>
          <cell r="F228" t="str">
            <v>Sunil Nair</v>
          </cell>
          <cell r="G228">
            <v>0</v>
          </cell>
          <cell r="H228">
            <v>0</v>
          </cell>
          <cell r="I228">
            <v>0</v>
          </cell>
          <cell r="J228" t="str">
            <v>CI Not Received</v>
          </cell>
          <cell r="K228" t="str">
            <v>Civil Not Started</v>
          </cell>
        </row>
        <row r="229">
          <cell r="B229" t="str">
            <v>IPS5</v>
          </cell>
          <cell r="C229" t="str">
            <v>FSAM</v>
          </cell>
          <cell r="D229" t="str">
            <v>QLD</v>
          </cell>
          <cell r="E229" t="str">
            <v>QLD Metro</v>
          </cell>
          <cell r="F229" t="str">
            <v>Jonathan Cogan</v>
          </cell>
          <cell r="G229">
            <v>0</v>
          </cell>
          <cell r="H229">
            <v>0</v>
          </cell>
          <cell r="I229">
            <v>0</v>
          </cell>
          <cell r="J229" t="str">
            <v>CI Not Received</v>
          </cell>
          <cell r="K229" t="str">
            <v>Civil Not Started</v>
          </cell>
        </row>
        <row r="230">
          <cell r="B230" t="str">
            <v>KLG8</v>
          </cell>
          <cell r="C230" t="str">
            <v>FSAM</v>
          </cell>
          <cell r="D230" t="str">
            <v>QLD</v>
          </cell>
          <cell r="E230" t="str">
            <v>QLD Metro</v>
          </cell>
          <cell r="F230" t="str">
            <v>Jonathan Cogan</v>
          </cell>
          <cell r="G230">
            <v>0</v>
          </cell>
          <cell r="H230">
            <v>0</v>
          </cell>
          <cell r="I230">
            <v>0</v>
          </cell>
          <cell r="J230" t="str">
            <v>CI Not Received</v>
          </cell>
          <cell r="K230" t="str">
            <v>Civil Not Started</v>
          </cell>
        </row>
        <row r="231">
          <cell r="B231" t="str">
            <v>CHA1</v>
          </cell>
          <cell r="C231" t="str">
            <v>FSAM</v>
          </cell>
          <cell r="D231" t="str">
            <v>NSW</v>
          </cell>
          <cell r="E231" t="str">
            <v>Sydney East</v>
          </cell>
          <cell r="F231" t="str">
            <v>Adam Walsh</v>
          </cell>
          <cell r="G231">
            <v>0</v>
          </cell>
          <cell r="H231">
            <v>0</v>
          </cell>
          <cell r="I231">
            <v>0</v>
          </cell>
          <cell r="J231" t="str">
            <v>CI Not Received</v>
          </cell>
          <cell r="K231" t="str">
            <v>Civil Not Started</v>
          </cell>
        </row>
        <row r="232">
          <cell r="B232" t="str">
            <v>COR2</v>
          </cell>
          <cell r="C232" t="str">
            <v>FSAM</v>
          </cell>
          <cell r="D232" t="str">
            <v>NSW</v>
          </cell>
          <cell r="E232" t="str">
            <v>NSW South / ACT</v>
          </cell>
          <cell r="F232" t="str">
            <v>Steven Blewitt</v>
          </cell>
          <cell r="G232">
            <v>0</v>
          </cell>
          <cell r="H232">
            <v>0</v>
          </cell>
          <cell r="I232">
            <v>0</v>
          </cell>
          <cell r="J232" t="str">
            <v>CI Not Received</v>
          </cell>
          <cell r="K232" t="str">
            <v>Civil Not Started</v>
          </cell>
        </row>
        <row r="233">
          <cell r="B233" t="str">
            <v>COR3</v>
          </cell>
          <cell r="C233" t="str">
            <v>FSAM</v>
          </cell>
          <cell r="D233" t="str">
            <v>NSW</v>
          </cell>
          <cell r="E233" t="str">
            <v>NSW South / ACT</v>
          </cell>
          <cell r="F233" t="str">
            <v>Steven Blewitt</v>
          </cell>
          <cell r="G233">
            <v>0</v>
          </cell>
          <cell r="H233">
            <v>0</v>
          </cell>
          <cell r="I233">
            <v>0</v>
          </cell>
          <cell r="J233" t="str">
            <v>CI Not Received</v>
          </cell>
          <cell r="K233" t="str">
            <v>Civil Not Started</v>
          </cell>
        </row>
        <row r="234">
          <cell r="B234" t="str">
            <v>GRN4</v>
          </cell>
          <cell r="C234" t="str">
            <v>FSAM</v>
          </cell>
          <cell r="D234" t="str">
            <v>NSW</v>
          </cell>
          <cell r="E234" t="str">
            <v>NSW North</v>
          </cell>
          <cell r="F234" t="str">
            <v>James Herden</v>
          </cell>
          <cell r="G234">
            <v>0</v>
          </cell>
          <cell r="H234">
            <v>0</v>
          </cell>
          <cell r="I234">
            <v>0</v>
          </cell>
          <cell r="J234" t="str">
            <v>CI Not Received</v>
          </cell>
          <cell r="K234" t="str">
            <v>Civil Not Started</v>
          </cell>
        </row>
        <row r="235">
          <cell r="B235" t="str">
            <v>MAI4</v>
          </cell>
          <cell r="C235" t="str">
            <v>FSAM</v>
          </cell>
          <cell r="D235" t="str">
            <v>NSW</v>
          </cell>
          <cell r="E235" t="str">
            <v>NSW North</v>
          </cell>
          <cell r="F235" t="str">
            <v>James Herden</v>
          </cell>
          <cell r="G235">
            <v>0</v>
          </cell>
          <cell r="H235">
            <v>0</v>
          </cell>
          <cell r="I235">
            <v>0</v>
          </cell>
          <cell r="J235" t="str">
            <v>CI Not Received</v>
          </cell>
          <cell r="K235" t="str">
            <v>Civil Not Started</v>
          </cell>
        </row>
        <row r="236">
          <cell r="B236" t="str">
            <v>MAI5</v>
          </cell>
          <cell r="C236" t="str">
            <v>FSAM</v>
          </cell>
          <cell r="D236" t="str">
            <v>NSW</v>
          </cell>
          <cell r="E236" t="str">
            <v>NSW North</v>
          </cell>
          <cell r="F236" t="str">
            <v>James Herden</v>
          </cell>
          <cell r="G236">
            <v>0</v>
          </cell>
          <cell r="H236">
            <v>0</v>
          </cell>
          <cell r="I236">
            <v>0</v>
          </cell>
          <cell r="J236" t="str">
            <v>CI Not Received</v>
          </cell>
          <cell r="K236" t="str">
            <v>Civil Not Started</v>
          </cell>
        </row>
        <row r="237">
          <cell r="B237" t="str">
            <v>MAI6</v>
          </cell>
          <cell r="C237" t="str">
            <v>FSAM</v>
          </cell>
          <cell r="D237" t="str">
            <v>NSW</v>
          </cell>
          <cell r="E237" t="str">
            <v>NSW North</v>
          </cell>
          <cell r="F237" t="str">
            <v>James Herden</v>
          </cell>
          <cell r="G237">
            <v>0</v>
          </cell>
          <cell r="H237">
            <v>0</v>
          </cell>
          <cell r="I237">
            <v>0</v>
          </cell>
          <cell r="J237" t="str">
            <v>CI Not Received</v>
          </cell>
          <cell r="K237" t="str">
            <v>Civil Not Started</v>
          </cell>
        </row>
        <row r="238">
          <cell r="B238" t="str">
            <v>APL7</v>
          </cell>
          <cell r="C238" t="str">
            <v>FSAM</v>
          </cell>
          <cell r="D238" t="str">
            <v>QLD</v>
          </cell>
          <cell r="E238" t="str">
            <v>QLD Metro</v>
          </cell>
          <cell r="F238" t="str">
            <v>Jonathan Cogan</v>
          </cell>
          <cell r="G238">
            <v>0</v>
          </cell>
          <cell r="H238">
            <v>0</v>
          </cell>
          <cell r="I238">
            <v>0</v>
          </cell>
          <cell r="J238" t="str">
            <v>CI Not Received</v>
          </cell>
          <cell r="K238" t="str">
            <v>Civil Not Started</v>
          </cell>
        </row>
        <row r="239">
          <cell r="B239" t="str">
            <v>APL8</v>
          </cell>
          <cell r="C239" t="str">
            <v>FSAM</v>
          </cell>
          <cell r="D239" t="str">
            <v>QLD</v>
          </cell>
          <cell r="E239" t="str">
            <v>QLD Metro</v>
          </cell>
          <cell r="F239" t="str">
            <v>Jonathan Cogan</v>
          </cell>
          <cell r="G239">
            <v>0</v>
          </cell>
          <cell r="H239">
            <v>0</v>
          </cell>
          <cell r="I239">
            <v>0</v>
          </cell>
          <cell r="J239" t="str">
            <v>CI Not Received</v>
          </cell>
          <cell r="K239" t="str">
            <v>Civil Not Started</v>
          </cell>
        </row>
        <row r="240">
          <cell r="B240" t="str">
            <v>APL9</v>
          </cell>
          <cell r="C240" t="str">
            <v>FSAM</v>
          </cell>
          <cell r="D240" t="str">
            <v>QLD</v>
          </cell>
          <cell r="E240" t="str">
            <v>QLD Metro</v>
          </cell>
          <cell r="F240" t="str">
            <v>Jonathan Cogan</v>
          </cell>
          <cell r="G240">
            <v>0</v>
          </cell>
          <cell r="H240">
            <v>0</v>
          </cell>
          <cell r="I240">
            <v>0</v>
          </cell>
          <cell r="J240" t="str">
            <v>CI Not Received</v>
          </cell>
          <cell r="K240" t="str">
            <v>Civil Not Started</v>
          </cell>
        </row>
        <row r="241">
          <cell r="B241" t="str">
            <v>BBE3</v>
          </cell>
          <cell r="C241" t="str">
            <v>FSAM</v>
          </cell>
          <cell r="D241" t="str">
            <v>QLD</v>
          </cell>
          <cell r="E241" t="str">
            <v>QLD South</v>
          </cell>
          <cell r="F241" t="str">
            <v>Alan Bassett</v>
          </cell>
          <cell r="G241">
            <v>0</v>
          </cell>
          <cell r="H241">
            <v>0</v>
          </cell>
          <cell r="I241">
            <v>0</v>
          </cell>
          <cell r="J241" t="str">
            <v>CI Not Received</v>
          </cell>
          <cell r="K241" t="str">
            <v>Civil Not Started</v>
          </cell>
        </row>
        <row r="242">
          <cell r="B242" t="str">
            <v>BDB3</v>
          </cell>
          <cell r="C242" t="str">
            <v>FSAM</v>
          </cell>
          <cell r="D242" t="str">
            <v>QLD</v>
          </cell>
          <cell r="E242" t="str">
            <v>QLD Metro</v>
          </cell>
          <cell r="F242" t="str">
            <v>Jonathan Cogan</v>
          </cell>
          <cell r="G242">
            <v>0</v>
          </cell>
          <cell r="H242">
            <v>0</v>
          </cell>
          <cell r="I242">
            <v>0</v>
          </cell>
          <cell r="J242" t="str">
            <v>CI Not Received</v>
          </cell>
          <cell r="K242" t="str">
            <v>Civil Not Started</v>
          </cell>
        </row>
        <row r="243">
          <cell r="B243" t="str">
            <v>FRV3</v>
          </cell>
          <cell r="C243" t="str">
            <v>FSAM</v>
          </cell>
          <cell r="D243" t="str">
            <v>QLD</v>
          </cell>
          <cell r="E243" t="str">
            <v>QLD North</v>
          </cell>
          <cell r="F243" t="str">
            <v>Sunil Nair</v>
          </cell>
          <cell r="G243">
            <v>0</v>
          </cell>
          <cell r="H243">
            <v>0</v>
          </cell>
          <cell r="I243">
            <v>0</v>
          </cell>
          <cell r="J243" t="str">
            <v>CI Not Received</v>
          </cell>
          <cell r="K243" t="str">
            <v>Civil Not Started</v>
          </cell>
        </row>
        <row r="244">
          <cell r="B244" t="str">
            <v>NDG5</v>
          </cell>
          <cell r="C244" t="str">
            <v>FSAM</v>
          </cell>
          <cell r="D244" t="str">
            <v>QLD</v>
          </cell>
          <cell r="E244" t="str">
            <v>QLD Metro</v>
          </cell>
          <cell r="F244" t="str">
            <v>Jonathan Cogan</v>
          </cell>
          <cell r="G244">
            <v>0</v>
          </cell>
          <cell r="H244">
            <v>0</v>
          </cell>
          <cell r="I244">
            <v>0</v>
          </cell>
          <cell r="J244" t="str">
            <v>CI Not Received</v>
          </cell>
          <cell r="K244" t="str">
            <v>Civil Not Started</v>
          </cell>
        </row>
        <row r="245">
          <cell r="B245" t="str">
            <v>NDG6</v>
          </cell>
          <cell r="C245" t="str">
            <v>FSAM</v>
          </cell>
          <cell r="D245" t="str">
            <v>QLD</v>
          </cell>
          <cell r="E245" t="str">
            <v>QLD Metro</v>
          </cell>
          <cell r="F245" t="str">
            <v>Jonathan Cogan</v>
          </cell>
          <cell r="G245">
            <v>0</v>
          </cell>
          <cell r="H245">
            <v>0</v>
          </cell>
          <cell r="I245">
            <v>0</v>
          </cell>
          <cell r="J245" t="str">
            <v>CI Not Received</v>
          </cell>
          <cell r="K245" t="str">
            <v>Civil Not Started</v>
          </cell>
        </row>
        <row r="246">
          <cell r="B246" t="str">
            <v>SGI2</v>
          </cell>
          <cell r="C246" t="str">
            <v>FSAM</v>
          </cell>
          <cell r="D246" t="str">
            <v>QLD</v>
          </cell>
          <cell r="E246" t="str">
            <v>QLD Metro</v>
          </cell>
          <cell r="F246" t="str">
            <v>Jonathan Cogan</v>
          </cell>
          <cell r="G246">
            <v>0</v>
          </cell>
          <cell r="H246">
            <v>0</v>
          </cell>
          <cell r="I246">
            <v>0</v>
          </cell>
          <cell r="J246" t="str">
            <v>CI Not Received</v>
          </cell>
          <cell r="K246" t="str">
            <v>Civil Not Started</v>
          </cell>
        </row>
        <row r="247">
          <cell r="B247" t="str">
            <v>SGI4</v>
          </cell>
          <cell r="C247" t="str">
            <v>FSAM</v>
          </cell>
          <cell r="D247" t="str">
            <v>QLD</v>
          </cell>
          <cell r="E247" t="str">
            <v>QLD Metro</v>
          </cell>
          <cell r="F247" t="str">
            <v>Jonathan Cogan</v>
          </cell>
          <cell r="G247">
            <v>0</v>
          </cell>
          <cell r="H247">
            <v>0</v>
          </cell>
          <cell r="I247">
            <v>0</v>
          </cell>
          <cell r="J247" t="str">
            <v>CI Not Received</v>
          </cell>
          <cell r="K247" t="str">
            <v>Civil Not Started</v>
          </cell>
        </row>
        <row r="248">
          <cell r="B248" t="str">
            <v>CRC7</v>
          </cell>
          <cell r="C248" t="str">
            <v>FSAM</v>
          </cell>
          <cell r="D248" t="str">
            <v>NSW</v>
          </cell>
          <cell r="E248" t="str">
            <v>NSW South / ACT</v>
          </cell>
          <cell r="F248" t="str">
            <v>Steven Blewitt</v>
          </cell>
          <cell r="G248">
            <v>0</v>
          </cell>
          <cell r="H248">
            <v>0</v>
          </cell>
          <cell r="I248">
            <v>0</v>
          </cell>
          <cell r="J248" t="str">
            <v>CI Not Received</v>
          </cell>
          <cell r="K248" t="str">
            <v>Civil Not Started</v>
          </cell>
        </row>
        <row r="249">
          <cell r="B249" t="str">
            <v>CRC8</v>
          </cell>
          <cell r="C249" t="str">
            <v>FSAM</v>
          </cell>
          <cell r="D249" t="str">
            <v>NSW</v>
          </cell>
          <cell r="E249" t="str">
            <v>NSW South / ACT</v>
          </cell>
          <cell r="F249" t="str">
            <v>Steven Blewitt</v>
          </cell>
          <cell r="G249">
            <v>0</v>
          </cell>
          <cell r="H249">
            <v>0</v>
          </cell>
          <cell r="I249">
            <v>0</v>
          </cell>
          <cell r="J249" t="str">
            <v>CI Not Received</v>
          </cell>
          <cell r="K249" t="str">
            <v>Civil Not Started</v>
          </cell>
        </row>
        <row r="250">
          <cell r="B250" t="str">
            <v>CRC9</v>
          </cell>
          <cell r="C250" t="str">
            <v>FSAM</v>
          </cell>
          <cell r="D250" t="str">
            <v>NSW</v>
          </cell>
          <cell r="E250" t="str">
            <v>NSW South / ACT</v>
          </cell>
          <cell r="F250" t="str">
            <v>Steven Blewitt</v>
          </cell>
          <cell r="G250">
            <v>0</v>
          </cell>
          <cell r="H250">
            <v>0</v>
          </cell>
          <cell r="I250">
            <v>0</v>
          </cell>
          <cell r="J250" t="str">
            <v>CI Not Received</v>
          </cell>
          <cell r="K250" t="str">
            <v>Civil Not Started</v>
          </cell>
        </row>
        <row r="251">
          <cell r="B251" t="str">
            <v>CVI8</v>
          </cell>
          <cell r="C251" t="str">
            <v>FSAM</v>
          </cell>
          <cell r="D251" t="e">
            <v>#N/A</v>
          </cell>
          <cell r="E251" t="e">
            <v>#N/A</v>
          </cell>
          <cell r="F251" t="e">
            <v>#N/A</v>
          </cell>
          <cell r="G251">
            <v>0</v>
          </cell>
          <cell r="H251">
            <v>0</v>
          </cell>
          <cell r="I251">
            <v>0</v>
          </cell>
          <cell r="J251" t="str">
            <v>CI Not Received</v>
          </cell>
          <cell r="K251" t="str">
            <v>Civil Not Started</v>
          </cell>
        </row>
        <row r="252">
          <cell r="B252" t="str">
            <v>BLK11</v>
          </cell>
          <cell r="C252" t="str">
            <v>FSAM</v>
          </cell>
          <cell r="D252" t="str">
            <v>NSW</v>
          </cell>
          <cell r="E252" t="str">
            <v>Sydney West</v>
          </cell>
          <cell r="F252" t="str">
            <v>Damien Marov</v>
          </cell>
          <cell r="G252">
            <v>0</v>
          </cell>
          <cell r="H252">
            <v>0</v>
          </cell>
          <cell r="I252">
            <v>0</v>
          </cell>
          <cell r="J252" t="str">
            <v>CI Not Received</v>
          </cell>
          <cell r="K252" t="str">
            <v>Civil Not Started</v>
          </cell>
        </row>
        <row r="253">
          <cell r="B253" t="str">
            <v>BLK12</v>
          </cell>
          <cell r="C253" t="str">
            <v>FSAM</v>
          </cell>
          <cell r="D253" t="str">
            <v>NSW</v>
          </cell>
          <cell r="E253" t="str">
            <v>Sydney West</v>
          </cell>
          <cell r="F253" t="str">
            <v>Damien Marov</v>
          </cell>
          <cell r="G253">
            <v>0</v>
          </cell>
          <cell r="H253">
            <v>0</v>
          </cell>
          <cell r="I253">
            <v>0</v>
          </cell>
          <cell r="J253" t="str">
            <v>CI Not Received</v>
          </cell>
          <cell r="K253" t="str">
            <v>Civil Not Started</v>
          </cell>
        </row>
        <row r="254">
          <cell r="B254" t="str">
            <v>WLG7</v>
          </cell>
          <cell r="C254" t="str">
            <v>FSAM</v>
          </cell>
          <cell r="D254" t="str">
            <v>NSW</v>
          </cell>
          <cell r="E254" t="str">
            <v>NSW South / ACT</v>
          </cell>
          <cell r="F254" t="str">
            <v>Steven Blewitt</v>
          </cell>
          <cell r="G254">
            <v>0</v>
          </cell>
          <cell r="H254">
            <v>0</v>
          </cell>
          <cell r="I254">
            <v>0</v>
          </cell>
          <cell r="J254" t="str">
            <v>CI Not Received</v>
          </cell>
          <cell r="K254" t="str">
            <v>Civil Not Started</v>
          </cell>
        </row>
        <row r="255">
          <cell r="B255" t="str">
            <v>IPS6</v>
          </cell>
          <cell r="C255" t="str">
            <v>FSAM</v>
          </cell>
          <cell r="D255" t="str">
            <v>QLD</v>
          </cell>
          <cell r="E255" t="str">
            <v>QLD Metro</v>
          </cell>
          <cell r="F255" t="str">
            <v>Jonathan Cogan</v>
          </cell>
          <cell r="G255">
            <v>0</v>
          </cell>
          <cell r="H255">
            <v>0</v>
          </cell>
          <cell r="I255">
            <v>0</v>
          </cell>
          <cell r="J255" t="str">
            <v>CI Not Received</v>
          </cell>
          <cell r="K255" t="str">
            <v>Civil Not Started</v>
          </cell>
        </row>
        <row r="256">
          <cell r="B256" t="str">
            <v>IPS7</v>
          </cell>
          <cell r="C256" t="str">
            <v>FSAM</v>
          </cell>
          <cell r="D256" t="str">
            <v>QLD</v>
          </cell>
          <cell r="E256" t="str">
            <v>QLD Metro</v>
          </cell>
          <cell r="F256" t="str">
            <v>Jonathan Cogan</v>
          </cell>
          <cell r="G256">
            <v>0</v>
          </cell>
          <cell r="H256">
            <v>0</v>
          </cell>
          <cell r="I256">
            <v>0</v>
          </cell>
          <cell r="J256" t="str">
            <v>CI Not Received</v>
          </cell>
          <cell r="K256" t="str">
            <v>Civil Not Started</v>
          </cell>
        </row>
        <row r="257">
          <cell r="B257" t="str">
            <v>QBN7</v>
          </cell>
          <cell r="C257" t="str">
            <v>FSAM</v>
          </cell>
          <cell r="D257" t="e">
            <v>#N/A</v>
          </cell>
          <cell r="E257" t="e">
            <v>#N/A</v>
          </cell>
          <cell r="F257" t="e">
            <v>#N/A</v>
          </cell>
          <cell r="G257">
            <v>0</v>
          </cell>
          <cell r="H257">
            <v>0</v>
          </cell>
          <cell r="I257">
            <v>0</v>
          </cell>
          <cell r="J257" t="str">
            <v>CI Not Received</v>
          </cell>
          <cell r="K257" t="str">
            <v>Civil Not Started</v>
          </cell>
        </row>
        <row r="258">
          <cell r="B258" t="str">
            <v>SCU1</v>
          </cell>
          <cell r="C258" t="str">
            <v>FSAM</v>
          </cell>
          <cell r="D258" t="e">
            <v>#N/A</v>
          </cell>
          <cell r="E258" t="e">
            <v>#N/A</v>
          </cell>
          <cell r="F258" t="e">
            <v>#N/A</v>
          </cell>
          <cell r="G258">
            <v>0</v>
          </cell>
          <cell r="H258">
            <v>0</v>
          </cell>
          <cell r="I258">
            <v>0</v>
          </cell>
          <cell r="J258" t="str">
            <v>CI Not Received</v>
          </cell>
          <cell r="K258" t="str">
            <v>Civil Not Started</v>
          </cell>
        </row>
        <row r="259">
          <cell r="B259" t="str">
            <v>SCU2</v>
          </cell>
          <cell r="C259" t="str">
            <v>FSAM</v>
          </cell>
          <cell r="D259" t="e">
            <v>#N/A</v>
          </cell>
          <cell r="E259" t="e">
            <v>#N/A</v>
          </cell>
          <cell r="F259" t="e">
            <v>#N/A</v>
          </cell>
          <cell r="G259">
            <v>0</v>
          </cell>
          <cell r="H259">
            <v>0</v>
          </cell>
          <cell r="I259">
            <v>0</v>
          </cell>
          <cell r="J259" t="str">
            <v>CI Not Received</v>
          </cell>
          <cell r="K259" t="str">
            <v>Civil Not Started</v>
          </cell>
        </row>
        <row r="260">
          <cell r="B260" t="str">
            <v>SCU3</v>
          </cell>
          <cell r="C260" t="str">
            <v>FSAM</v>
          </cell>
          <cell r="D260" t="e">
            <v>#N/A</v>
          </cell>
          <cell r="E260" t="e">
            <v>#N/A</v>
          </cell>
          <cell r="F260" t="e">
            <v>#N/A</v>
          </cell>
          <cell r="G260">
            <v>0</v>
          </cell>
          <cell r="H260">
            <v>0</v>
          </cell>
          <cell r="I260">
            <v>0</v>
          </cell>
          <cell r="J260" t="str">
            <v>CI Not Received</v>
          </cell>
          <cell r="K260" t="str">
            <v>Civil Not Started</v>
          </cell>
        </row>
        <row r="261">
          <cell r="B261" t="str">
            <v>BLK7</v>
          </cell>
          <cell r="C261" t="str">
            <v>FSAM</v>
          </cell>
          <cell r="D261" t="str">
            <v>NSW</v>
          </cell>
          <cell r="E261" t="str">
            <v>Sydney West</v>
          </cell>
          <cell r="F261" t="str">
            <v>Damien Marov</v>
          </cell>
          <cell r="G261">
            <v>0</v>
          </cell>
          <cell r="H261">
            <v>0</v>
          </cell>
          <cell r="I261">
            <v>0</v>
          </cell>
          <cell r="J261" t="str">
            <v>CI Not Received</v>
          </cell>
          <cell r="K261" t="str">
            <v>Civil Not Started</v>
          </cell>
        </row>
        <row r="262">
          <cell r="B262" t="str">
            <v>BLK8</v>
          </cell>
          <cell r="C262" t="str">
            <v>FSAM</v>
          </cell>
          <cell r="D262" t="str">
            <v>NSW</v>
          </cell>
          <cell r="E262" t="str">
            <v>Sydney West</v>
          </cell>
          <cell r="F262" t="str">
            <v>Damien Marov</v>
          </cell>
          <cell r="G262">
            <v>0</v>
          </cell>
          <cell r="H262">
            <v>0</v>
          </cell>
          <cell r="I262">
            <v>0</v>
          </cell>
          <cell r="J262" t="str">
            <v>CI Not Received</v>
          </cell>
          <cell r="K262" t="str">
            <v>Civil Not Started</v>
          </cell>
        </row>
        <row r="263">
          <cell r="B263" t="str">
            <v>LIV1</v>
          </cell>
          <cell r="C263" t="str">
            <v>FSAM</v>
          </cell>
          <cell r="D263" t="str">
            <v>NSW</v>
          </cell>
          <cell r="E263" t="str">
            <v>Sydney West</v>
          </cell>
          <cell r="F263" t="str">
            <v>Damien Marov</v>
          </cell>
          <cell r="G263">
            <v>0</v>
          </cell>
          <cell r="H263">
            <v>0</v>
          </cell>
          <cell r="I263">
            <v>0</v>
          </cell>
          <cell r="J263" t="str">
            <v>CI Not Received</v>
          </cell>
          <cell r="K263" t="str">
            <v>Civil Not Started</v>
          </cell>
        </row>
        <row r="264">
          <cell r="B264" t="str">
            <v>LIV2</v>
          </cell>
          <cell r="C264" t="str">
            <v>FSAM</v>
          </cell>
          <cell r="D264" t="str">
            <v>NSW</v>
          </cell>
          <cell r="E264" t="str">
            <v>Sydney West</v>
          </cell>
          <cell r="F264" t="str">
            <v>Damien Marov</v>
          </cell>
          <cell r="G264">
            <v>0</v>
          </cell>
          <cell r="H264">
            <v>0</v>
          </cell>
          <cell r="I264">
            <v>0</v>
          </cell>
          <cell r="J264" t="str">
            <v>CI Not Received</v>
          </cell>
          <cell r="K264" t="str">
            <v>Civil Not Started</v>
          </cell>
        </row>
        <row r="265">
          <cell r="B265" t="str">
            <v>LIV3</v>
          </cell>
          <cell r="C265" t="str">
            <v>FSAM</v>
          </cell>
          <cell r="D265" t="str">
            <v>NSW</v>
          </cell>
          <cell r="E265" t="str">
            <v>Sydney West</v>
          </cell>
          <cell r="F265" t="str">
            <v>Damien Marov</v>
          </cell>
          <cell r="G265">
            <v>0</v>
          </cell>
          <cell r="H265">
            <v>0</v>
          </cell>
          <cell r="I265">
            <v>0</v>
          </cell>
          <cell r="J265" t="str">
            <v>CI Not Received</v>
          </cell>
          <cell r="K265" t="str">
            <v>Civil Not Started</v>
          </cell>
        </row>
        <row r="266">
          <cell r="B266" t="str">
            <v>LJT10</v>
          </cell>
          <cell r="C266" t="str">
            <v>FSAM</v>
          </cell>
          <cell r="D266" t="str">
            <v>NSW</v>
          </cell>
          <cell r="E266" t="str">
            <v>Sydney East</v>
          </cell>
          <cell r="F266" t="str">
            <v>Adam Walsh</v>
          </cell>
          <cell r="G266">
            <v>0</v>
          </cell>
          <cell r="H266">
            <v>0</v>
          </cell>
          <cell r="I266">
            <v>0</v>
          </cell>
          <cell r="J266" t="str">
            <v>CI Not Received</v>
          </cell>
          <cell r="K266" t="str">
            <v>Civil Not Started</v>
          </cell>
        </row>
        <row r="267">
          <cell r="B267" t="str">
            <v>MAI1</v>
          </cell>
          <cell r="C267" t="str">
            <v>FSAM</v>
          </cell>
          <cell r="D267" t="str">
            <v>NSW</v>
          </cell>
          <cell r="E267" t="str">
            <v>NSW North</v>
          </cell>
          <cell r="F267" t="str">
            <v>James Herden</v>
          </cell>
          <cell r="G267">
            <v>0</v>
          </cell>
          <cell r="H267">
            <v>0</v>
          </cell>
          <cell r="I267">
            <v>0</v>
          </cell>
          <cell r="J267" t="str">
            <v>CI Not Received</v>
          </cell>
          <cell r="K267" t="str">
            <v>Civil Not Started</v>
          </cell>
        </row>
        <row r="268">
          <cell r="B268" t="str">
            <v>MAI2</v>
          </cell>
          <cell r="C268" t="str">
            <v>FSAM</v>
          </cell>
          <cell r="D268" t="str">
            <v>NSW</v>
          </cell>
          <cell r="E268" t="str">
            <v>NSW North</v>
          </cell>
          <cell r="F268" t="str">
            <v>James Herden</v>
          </cell>
          <cell r="G268">
            <v>0</v>
          </cell>
          <cell r="H268">
            <v>0</v>
          </cell>
          <cell r="I268">
            <v>0</v>
          </cell>
          <cell r="J268" t="str">
            <v>CI Not Received</v>
          </cell>
          <cell r="K268" t="str">
            <v>Civil Not Started</v>
          </cell>
        </row>
        <row r="269">
          <cell r="B269" t="str">
            <v>APL10</v>
          </cell>
          <cell r="C269" t="str">
            <v>FSAM</v>
          </cell>
          <cell r="D269" t="str">
            <v>QLD</v>
          </cell>
          <cell r="E269" t="str">
            <v>QLD Metro</v>
          </cell>
          <cell r="F269" t="str">
            <v>Jonathan Cogan</v>
          </cell>
          <cell r="G269">
            <v>0</v>
          </cell>
          <cell r="H269">
            <v>0</v>
          </cell>
          <cell r="I269">
            <v>0</v>
          </cell>
          <cell r="J269" t="str">
            <v>CI Not Received</v>
          </cell>
          <cell r="K269" t="str">
            <v>Civil Not Started</v>
          </cell>
        </row>
        <row r="270">
          <cell r="B270" t="str">
            <v>ASH4</v>
          </cell>
          <cell r="C270" t="str">
            <v>FSAM</v>
          </cell>
          <cell r="D270" t="str">
            <v>QLD</v>
          </cell>
          <cell r="E270" t="str">
            <v>QLD Metro</v>
          </cell>
          <cell r="F270" t="str">
            <v>Jonathan Cogan</v>
          </cell>
          <cell r="G270">
            <v>0</v>
          </cell>
          <cell r="H270">
            <v>0</v>
          </cell>
          <cell r="I270">
            <v>0</v>
          </cell>
          <cell r="J270" t="str">
            <v>CI Not Received</v>
          </cell>
          <cell r="K270" t="str">
            <v>Civil Not Started</v>
          </cell>
        </row>
        <row r="271">
          <cell r="B271" t="str">
            <v>ASH5</v>
          </cell>
          <cell r="C271" t="str">
            <v>FSAM</v>
          </cell>
          <cell r="D271" t="str">
            <v>QLD</v>
          </cell>
          <cell r="E271" t="str">
            <v>QLD Metro</v>
          </cell>
          <cell r="F271" t="str">
            <v>Jonathan Cogan</v>
          </cell>
          <cell r="G271">
            <v>0</v>
          </cell>
          <cell r="H271">
            <v>0</v>
          </cell>
          <cell r="I271">
            <v>0</v>
          </cell>
          <cell r="J271" t="str">
            <v>CI Not Received</v>
          </cell>
          <cell r="K271" t="str">
            <v>Civil Not Started</v>
          </cell>
        </row>
        <row r="272">
          <cell r="B272" t="str">
            <v>ASH6</v>
          </cell>
          <cell r="C272" t="str">
            <v>FSAM</v>
          </cell>
          <cell r="D272" t="str">
            <v>QLD</v>
          </cell>
          <cell r="E272" t="str">
            <v>QLD Metro</v>
          </cell>
          <cell r="F272" t="str">
            <v>Jonathan Cogan</v>
          </cell>
          <cell r="G272">
            <v>0</v>
          </cell>
          <cell r="H272">
            <v>0</v>
          </cell>
          <cell r="I272">
            <v>0</v>
          </cell>
          <cell r="J272" t="str">
            <v>CI Not Received</v>
          </cell>
          <cell r="K272" t="str">
            <v>Civil Not Started</v>
          </cell>
        </row>
        <row r="273">
          <cell r="B273" t="str">
            <v>BBE4</v>
          </cell>
          <cell r="C273" t="str">
            <v>FSAM</v>
          </cell>
          <cell r="D273" t="str">
            <v>QLD</v>
          </cell>
          <cell r="E273" t="str">
            <v>QLD North</v>
          </cell>
          <cell r="F273" t="str">
            <v>Alan Bassett</v>
          </cell>
          <cell r="G273">
            <v>0</v>
          </cell>
          <cell r="H273">
            <v>0</v>
          </cell>
          <cell r="I273">
            <v>0</v>
          </cell>
          <cell r="J273" t="str">
            <v>CI Not Received</v>
          </cell>
          <cell r="K273" t="str">
            <v>Civil Not Started</v>
          </cell>
        </row>
        <row r="274">
          <cell r="B274" t="str">
            <v>BBE5</v>
          </cell>
          <cell r="C274" t="str">
            <v>FSAM</v>
          </cell>
          <cell r="D274" t="str">
            <v>QLD</v>
          </cell>
          <cell r="E274" t="str">
            <v>QLD North</v>
          </cell>
          <cell r="F274" t="str">
            <v>Alan Bassett</v>
          </cell>
          <cell r="G274">
            <v>0</v>
          </cell>
          <cell r="H274">
            <v>0</v>
          </cell>
          <cell r="I274">
            <v>0</v>
          </cell>
          <cell r="J274" t="str">
            <v>CI Not Received</v>
          </cell>
          <cell r="K274" t="str">
            <v>Civil Not Started</v>
          </cell>
        </row>
        <row r="275">
          <cell r="B275" t="str">
            <v>BBE6</v>
          </cell>
          <cell r="C275" t="str">
            <v>FSAM</v>
          </cell>
          <cell r="D275" t="str">
            <v>QLD</v>
          </cell>
          <cell r="E275" t="str">
            <v>QLD North</v>
          </cell>
          <cell r="F275" t="str">
            <v>Alan Bassett</v>
          </cell>
          <cell r="G275">
            <v>0</v>
          </cell>
          <cell r="H275">
            <v>0</v>
          </cell>
          <cell r="I275">
            <v>0</v>
          </cell>
          <cell r="J275" t="str">
            <v>CI Not Received</v>
          </cell>
          <cell r="K275" t="str">
            <v>Civil Not Started</v>
          </cell>
        </row>
        <row r="276">
          <cell r="B276" t="str">
            <v>BBE8</v>
          </cell>
          <cell r="C276" t="str">
            <v>FSAM</v>
          </cell>
          <cell r="D276" t="str">
            <v>QLD</v>
          </cell>
          <cell r="E276" t="str">
            <v>QLD South</v>
          </cell>
          <cell r="F276" t="str">
            <v>Alan Bassett</v>
          </cell>
          <cell r="G276">
            <v>0</v>
          </cell>
          <cell r="H276">
            <v>0</v>
          </cell>
          <cell r="I276">
            <v>0</v>
          </cell>
          <cell r="J276" t="str">
            <v>CI Not Received</v>
          </cell>
          <cell r="K276" t="str">
            <v>Civil Not Started</v>
          </cell>
        </row>
        <row r="277">
          <cell r="B277" t="str">
            <v>BDB4</v>
          </cell>
          <cell r="C277" t="str">
            <v>FSAM</v>
          </cell>
          <cell r="D277" t="str">
            <v>QLD</v>
          </cell>
          <cell r="E277" t="str">
            <v>QLD Metro</v>
          </cell>
          <cell r="F277" t="str">
            <v>Jonathan Cogan</v>
          </cell>
          <cell r="G277">
            <v>0</v>
          </cell>
          <cell r="H277">
            <v>0</v>
          </cell>
          <cell r="I277">
            <v>0</v>
          </cell>
          <cell r="J277" t="str">
            <v>CI Not Received</v>
          </cell>
          <cell r="K277" t="str">
            <v>Civil Not Started</v>
          </cell>
        </row>
        <row r="278">
          <cell r="B278" t="str">
            <v>BDB5</v>
          </cell>
          <cell r="C278" t="str">
            <v>FSAM</v>
          </cell>
          <cell r="D278" t="str">
            <v>QLD</v>
          </cell>
          <cell r="E278" t="str">
            <v>QLD Metro</v>
          </cell>
          <cell r="F278" t="str">
            <v>Jonathan Cogan</v>
          </cell>
          <cell r="G278">
            <v>0</v>
          </cell>
          <cell r="H278">
            <v>0</v>
          </cell>
          <cell r="I278">
            <v>0</v>
          </cell>
          <cell r="J278" t="str">
            <v>CI Not Received</v>
          </cell>
          <cell r="K278" t="str">
            <v>Civil Not Started</v>
          </cell>
        </row>
        <row r="279">
          <cell r="B279" t="str">
            <v>BDB6</v>
          </cell>
          <cell r="C279" t="str">
            <v>FSAM</v>
          </cell>
          <cell r="D279" t="str">
            <v>QLD</v>
          </cell>
          <cell r="E279" t="str">
            <v>QLD Metro</v>
          </cell>
          <cell r="F279" t="str">
            <v>Jonathan Cogan</v>
          </cell>
          <cell r="G279">
            <v>0</v>
          </cell>
          <cell r="H279">
            <v>0</v>
          </cell>
          <cell r="I279">
            <v>0</v>
          </cell>
          <cell r="J279" t="str">
            <v>CI Not Received</v>
          </cell>
          <cell r="K279" t="str">
            <v>Civil Not Started</v>
          </cell>
        </row>
        <row r="280">
          <cell r="B280" t="str">
            <v>BDB7</v>
          </cell>
          <cell r="C280" t="str">
            <v>FSAM</v>
          </cell>
          <cell r="D280" t="str">
            <v>QLD</v>
          </cell>
          <cell r="E280" t="str">
            <v>QLD Metro</v>
          </cell>
          <cell r="F280" t="str">
            <v>Jonathan Cogan</v>
          </cell>
          <cell r="G280">
            <v>0</v>
          </cell>
          <cell r="H280">
            <v>0</v>
          </cell>
          <cell r="I280">
            <v>0</v>
          </cell>
          <cell r="J280" t="str">
            <v>CI Not Received</v>
          </cell>
          <cell r="K280" t="str">
            <v>Civil Not Started</v>
          </cell>
        </row>
        <row r="281">
          <cell r="B281" t="str">
            <v>CAI6</v>
          </cell>
          <cell r="C281" t="str">
            <v>FSAM</v>
          </cell>
          <cell r="D281" t="str">
            <v>QLD</v>
          </cell>
          <cell r="E281" t="str">
            <v>QLD North</v>
          </cell>
          <cell r="F281" t="str">
            <v>Sunil Nair</v>
          </cell>
          <cell r="G281">
            <v>0</v>
          </cell>
          <cell r="H281">
            <v>0</v>
          </cell>
          <cell r="I281">
            <v>0</v>
          </cell>
          <cell r="J281" t="str">
            <v>CI Not Received</v>
          </cell>
          <cell r="K281" t="str">
            <v>Civil Not Started</v>
          </cell>
        </row>
        <row r="282">
          <cell r="B282" t="str">
            <v>GUL8</v>
          </cell>
          <cell r="C282" t="str">
            <v>FSAM</v>
          </cell>
          <cell r="D282" t="str">
            <v>QLD</v>
          </cell>
          <cell r="E282" t="str">
            <v>QLD North</v>
          </cell>
          <cell r="F282" t="str">
            <v>Sunil Nair</v>
          </cell>
          <cell r="G282">
            <v>0</v>
          </cell>
          <cell r="H282">
            <v>0</v>
          </cell>
          <cell r="I282">
            <v>0</v>
          </cell>
          <cell r="J282" t="str">
            <v>CI Not Received</v>
          </cell>
          <cell r="K282" t="str">
            <v>Civil Not Started</v>
          </cell>
        </row>
        <row r="283">
          <cell r="B283" t="str">
            <v>HYP1</v>
          </cell>
          <cell r="C283" t="str">
            <v>FSAM</v>
          </cell>
          <cell r="D283" t="str">
            <v>QLD</v>
          </cell>
          <cell r="E283" t="str">
            <v>QLD North</v>
          </cell>
          <cell r="F283" t="str">
            <v>Sunil Nair</v>
          </cell>
          <cell r="G283">
            <v>0</v>
          </cell>
          <cell r="H283">
            <v>0</v>
          </cell>
          <cell r="I283">
            <v>0</v>
          </cell>
          <cell r="J283" t="str">
            <v>CI Not Received</v>
          </cell>
          <cell r="K283" t="str">
            <v>Civil Not Started</v>
          </cell>
        </row>
        <row r="284">
          <cell r="B284" t="str">
            <v>IPS3</v>
          </cell>
          <cell r="C284" t="str">
            <v>FSAM</v>
          </cell>
          <cell r="D284" t="str">
            <v>QLD</v>
          </cell>
          <cell r="E284" t="str">
            <v>QLD Metro</v>
          </cell>
          <cell r="F284" t="str">
            <v>Jonathan Cogan</v>
          </cell>
          <cell r="G284">
            <v>0</v>
          </cell>
          <cell r="H284">
            <v>0</v>
          </cell>
          <cell r="I284">
            <v>0</v>
          </cell>
          <cell r="J284" t="str">
            <v>CI Not Received</v>
          </cell>
          <cell r="K284" t="str">
            <v>Civil Not Started</v>
          </cell>
        </row>
        <row r="285">
          <cell r="B285" t="str">
            <v>IPS9</v>
          </cell>
          <cell r="C285" t="str">
            <v>FSAM</v>
          </cell>
          <cell r="D285" t="str">
            <v>QLD</v>
          </cell>
          <cell r="E285" t="str">
            <v>QLD Metro</v>
          </cell>
          <cell r="F285" t="str">
            <v>Jonathan Cogan</v>
          </cell>
          <cell r="G285">
            <v>0</v>
          </cell>
          <cell r="H285">
            <v>0</v>
          </cell>
          <cell r="I285">
            <v>0</v>
          </cell>
          <cell r="J285" t="str">
            <v>CI Not Received</v>
          </cell>
          <cell r="K285" t="str">
            <v>Civil Not Started</v>
          </cell>
        </row>
        <row r="286">
          <cell r="B286" t="str">
            <v>KLG5</v>
          </cell>
          <cell r="C286" t="str">
            <v>FSAM</v>
          </cell>
          <cell r="D286" t="str">
            <v>QLD</v>
          </cell>
          <cell r="E286" t="str">
            <v>QLD Metro</v>
          </cell>
          <cell r="F286" t="str">
            <v>Jonathan Cogan</v>
          </cell>
          <cell r="G286">
            <v>0</v>
          </cell>
          <cell r="H286">
            <v>0</v>
          </cell>
          <cell r="I286">
            <v>0</v>
          </cell>
          <cell r="J286" t="str">
            <v>CI Not Received</v>
          </cell>
          <cell r="K286" t="str">
            <v>Civil Not Started</v>
          </cell>
        </row>
        <row r="287">
          <cell r="B287" t="str">
            <v>ROT4</v>
          </cell>
          <cell r="C287" t="str">
            <v>FSAM</v>
          </cell>
          <cell r="D287" t="str">
            <v>QLD</v>
          </cell>
          <cell r="E287" t="str">
            <v>QLD North</v>
          </cell>
          <cell r="F287" t="str">
            <v>Sunil Nair</v>
          </cell>
          <cell r="G287">
            <v>0</v>
          </cell>
          <cell r="H287">
            <v>0</v>
          </cell>
          <cell r="I287">
            <v>0</v>
          </cell>
          <cell r="J287" t="str">
            <v>CI Not Received</v>
          </cell>
          <cell r="K287" t="str">
            <v>Civil Not Started</v>
          </cell>
        </row>
        <row r="288">
          <cell r="B288" t="str">
            <v>ROT5</v>
          </cell>
          <cell r="C288" t="str">
            <v>FSAM</v>
          </cell>
          <cell r="D288" t="str">
            <v>QLD</v>
          </cell>
          <cell r="E288" t="str">
            <v>QLD North</v>
          </cell>
          <cell r="F288" t="str">
            <v>Sunil Nair</v>
          </cell>
          <cell r="G288">
            <v>0</v>
          </cell>
          <cell r="H288">
            <v>0</v>
          </cell>
          <cell r="I288">
            <v>0</v>
          </cell>
          <cell r="J288" t="str">
            <v>CI Not Received</v>
          </cell>
          <cell r="K288" t="str">
            <v>Civil Not Started</v>
          </cell>
        </row>
        <row r="289">
          <cell r="B289" t="str">
            <v>ROT6</v>
          </cell>
          <cell r="C289" t="str">
            <v>FSAM</v>
          </cell>
          <cell r="D289" t="str">
            <v>QLD</v>
          </cell>
          <cell r="E289" t="str">
            <v>QLD North</v>
          </cell>
          <cell r="F289" t="str">
            <v>Sunil Nair</v>
          </cell>
          <cell r="G289">
            <v>0</v>
          </cell>
          <cell r="H289">
            <v>0</v>
          </cell>
          <cell r="I289">
            <v>0</v>
          </cell>
          <cell r="J289" t="str">
            <v>CI Not Received</v>
          </cell>
          <cell r="K289" t="str">
            <v>Civil Not Started</v>
          </cell>
        </row>
        <row r="290">
          <cell r="B290" t="str">
            <v>SAR1</v>
          </cell>
          <cell r="C290" t="str">
            <v>FSAM</v>
          </cell>
          <cell r="D290" t="str">
            <v>QLD</v>
          </cell>
          <cell r="E290" t="str">
            <v>QLD North</v>
          </cell>
          <cell r="F290" t="str">
            <v>Sunil Nair</v>
          </cell>
          <cell r="G290">
            <v>0</v>
          </cell>
          <cell r="H290">
            <v>0</v>
          </cell>
          <cell r="I290">
            <v>0</v>
          </cell>
          <cell r="J290" t="str">
            <v>CI Not Received</v>
          </cell>
          <cell r="K290" t="str">
            <v>Civil Not Started</v>
          </cell>
        </row>
        <row r="291">
          <cell r="B291" t="str">
            <v>SFT1</v>
          </cell>
          <cell r="C291" t="str">
            <v>FSAM</v>
          </cell>
          <cell r="D291" t="str">
            <v>QLD</v>
          </cell>
          <cell r="E291" t="str">
            <v>QLD North</v>
          </cell>
          <cell r="F291" t="str">
            <v>Sunil Nair</v>
          </cell>
          <cell r="G291">
            <v>0</v>
          </cell>
          <cell r="H291">
            <v>0</v>
          </cell>
          <cell r="I291">
            <v>0</v>
          </cell>
          <cell r="J291" t="str">
            <v>CI Not Received</v>
          </cell>
          <cell r="K291" t="str">
            <v>Civil Not Started</v>
          </cell>
        </row>
        <row r="292">
          <cell r="B292" t="str">
            <v>SGI3</v>
          </cell>
          <cell r="C292" t="str">
            <v>FSAM</v>
          </cell>
          <cell r="D292" t="str">
            <v>QLD</v>
          </cell>
          <cell r="E292" t="str">
            <v>QLD Metro</v>
          </cell>
          <cell r="F292" t="str">
            <v>Jonathan Cogan</v>
          </cell>
          <cell r="G292">
            <v>0</v>
          </cell>
          <cell r="H292">
            <v>0</v>
          </cell>
          <cell r="I292">
            <v>0</v>
          </cell>
          <cell r="J292" t="str">
            <v>CI Not Received</v>
          </cell>
          <cell r="K292" t="str">
            <v>Civil Not Started</v>
          </cell>
        </row>
        <row r="293">
          <cell r="B293" t="str">
            <v>SLA4</v>
          </cell>
          <cell r="C293" t="str">
            <v>FSAM</v>
          </cell>
          <cell r="D293" t="str">
            <v>QLD</v>
          </cell>
          <cell r="E293" t="str">
            <v>QLD Metro</v>
          </cell>
          <cell r="F293" t="str">
            <v>Jonathan Cogan</v>
          </cell>
          <cell r="G293">
            <v>0</v>
          </cell>
          <cell r="H293">
            <v>0</v>
          </cell>
          <cell r="I293">
            <v>0</v>
          </cell>
          <cell r="J293" t="str">
            <v>CI Not Received</v>
          </cell>
          <cell r="K293" t="str">
            <v>Civil Not Started</v>
          </cell>
        </row>
        <row r="294">
          <cell r="B294" t="str">
            <v>SLA5</v>
          </cell>
          <cell r="C294" t="str">
            <v>FSAM</v>
          </cell>
          <cell r="D294" t="str">
            <v>QLD</v>
          </cell>
          <cell r="E294" t="str">
            <v>QLD Metro</v>
          </cell>
          <cell r="F294" t="str">
            <v>Jonathan Cogan</v>
          </cell>
          <cell r="G294">
            <v>0</v>
          </cell>
          <cell r="H294">
            <v>0</v>
          </cell>
          <cell r="I294">
            <v>0</v>
          </cell>
          <cell r="J294" t="str">
            <v>CI Not Received</v>
          </cell>
          <cell r="K294" t="str">
            <v>Civil Not Started</v>
          </cell>
        </row>
        <row r="295">
          <cell r="B295" t="str">
            <v>TNS5</v>
          </cell>
          <cell r="C295" t="str">
            <v>FSAM</v>
          </cell>
          <cell r="D295" t="e">
            <v>#N/A</v>
          </cell>
          <cell r="E295" t="e">
            <v>#N/A</v>
          </cell>
          <cell r="F295" t="e">
            <v>#N/A</v>
          </cell>
          <cell r="G295">
            <v>0</v>
          </cell>
          <cell r="H295">
            <v>0</v>
          </cell>
          <cell r="I295">
            <v>0</v>
          </cell>
          <cell r="J295" t="str">
            <v>CI Not Received</v>
          </cell>
          <cell r="K295" t="str">
            <v>Civil Not Started</v>
          </cell>
        </row>
        <row r="296">
          <cell r="B296" t="str">
            <v>TOB10</v>
          </cell>
          <cell r="C296" t="str">
            <v>FSAM</v>
          </cell>
          <cell r="D296" t="str">
            <v>QLD</v>
          </cell>
          <cell r="E296" t="str">
            <v>QLD South</v>
          </cell>
          <cell r="F296" t="str">
            <v>Alan Bassett</v>
          </cell>
          <cell r="G296">
            <v>0</v>
          </cell>
          <cell r="H296">
            <v>0</v>
          </cell>
          <cell r="I296">
            <v>0</v>
          </cell>
          <cell r="J296" t="str">
            <v>CI Not Received</v>
          </cell>
          <cell r="K296" t="str">
            <v>Civil Not Started</v>
          </cell>
        </row>
        <row r="297">
          <cell r="B297" t="str">
            <v>TOB11</v>
          </cell>
          <cell r="C297" t="str">
            <v>FSAM</v>
          </cell>
          <cell r="D297" t="str">
            <v>QLD</v>
          </cell>
          <cell r="E297" t="str">
            <v>QLD South</v>
          </cell>
          <cell r="F297" t="str">
            <v>Alan Bassett</v>
          </cell>
          <cell r="G297">
            <v>0</v>
          </cell>
          <cell r="H297">
            <v>0</v>
          </cell>
          <cell r="I297">
            <v>0</v>
          </cell>
          <cell r="J297" t="str">
            <v>CI Not Received</v>
          </cell>
          <cell r="K297" t="str">
            <v>Civil Not Started</v>
          </cell>
        </row>
        <row r="298">
          <cell r="B298" t="str">
            <v>TOB12</v>
          </cell>
          <cell r="C298" t="str">
            <v>FSAM</v>
          </cell>
          <cell r="D298" t="str">
            <v>QLD</v>
          </cell>
          <cell r="E298" t="str">
            <v>QLD South</v>
          </cell>
          <cell r="F298" t="str">
            <v>Alan Bassett</v>
          </cell>
          <cell r="G298">
            <v>0</v>
          </cell>
          <cell r="H298">
            <v>0</v>
          </cell>
          <cell r="I298">
            <v>0</v>
          </cell>
          <cell r="J298" t="str">
            <v>CI Not Received</v>
          </cell>
          <cell r="K298" t="str">
            <v>Civil Not Started</v>
          </cell>
        </row>
        <row r="299">
          <cell r="B299" t="str">
            <v>WOB1</v>
          </cell>
          <cell r="C299" t="str">
            <v>FSAM</v>
          </cell>
          <cell r="D299" t="str">
            <v>QLD</v>
          </cell>
          <cell r="E299" t="str">
            <v>QLD Metro</v>
          </cell>
          <cell r="F299" t="str">
            <v>Jonathan Cogan</v>
          </cell>
          <cell r="G299">
            <v>0</v>
          </cell>
          <cell r="H299">
            <v>0</v>
          </cell>
          <cell r="I299">
            <v>0</v>
          </cell>
          <cell r="J299" t="str">
            <v>CI Not Received</v>
          </cell>
          <cell r="K299" t="str">
            <v>Civil Not Started</v>
          </cell>
        </row>
        <row r="300">
          <cell r="B300" t="str">
            <v>CVI7</v>
          </cell>
          <cell r="C300" t="str">
            <v>FSAM</v>
          </cell>
          <cell r="D300" t="str">
            <v>NSW</v>
          </cell>
          <cell r="E300" t="str">
            <v>NSW South / ACT</v>
          </cell>
          <cell r="F300" t="str">
            <v>Steven Blewitt</v>
          </cell>
          <cell r="G300">
            <v>0</v>
          </cell>
          <cell r="H300">
            <v>0</v>
          </cell>
          <cell r="I300">
            <v>0</v>
          </cell>
          <cell r="J300" t="str">
            <v>CI Not Received</v>
          </cell>
          <cell r="K300" t="str">
            <v>Civil Not Started</v>
          </cell>
        </row>
        <row r="301">
          <cell r="B301" t="str">
            <v>CVI9</v>
          </cell>
          <cell r="C301" t="str">
            <v>FSAM</v>
          </cell>
          <cell r="D301" t="str">
            <v>NSW</v>
          </cell>
          <cell r="E301" t="str">
            <v>NSW South / ACT</v>
          </cell>
          <cell r="F301" t="str">
            <v>Steven Blewitt</v>
          </cell>
          <cell r="G301">
            <v>0</v>
          </cell>
          <cell r="H301">
            <v>0</v>
          </cell>
          <cell r="I301">
            <v>0</v>
          </cell>
          <cell r="J301" t="str">
            <v>CI Not Received</v>
          </cell>
          <cell r="K301" t="str">
            <v>Civil Not Started</v>
          </cell>
        </row>
        <row r="302">
          <cell r="B302" t="str">
            <v>QBN1</v>
          </cell>
          <cell r="C302" t="str">
            <v>FSAM</v>
          </cell>
          <cell r="D302" t="str">
            <v>NSW</v>
          </cell>
          <cell r="E302" t="str">
            <v>NSW South / ACT</v>
          </cell>
          <cell r="F302" t="str">
            <v>Steven Blewitt</v>
          </cell>
          <cell r="G302">
            <v>0</v>
          </cell>
          <cell r="H302">
            <v>0</v>
          </cell>
          <cell r="I302">
            <v>0</v>
          </cell>
          <cell r="J302" t="str">
            <v>CI Not Received</v>
          </cell>
          <cell r="K302" t="str">
            <v>Civil Not Started</v>
          </cell>
        </row>
        <row r="303">
          <cell r="B303" t="str">
            <v>QBN2</v>
          </cell>
          <cell r="C303" t="str">
            <v>FSAM</v>
          </cell>
          <cell r="D303" t="str">
            <v>NSW</v>
          </cell>
          <cell r="E303" t="str">
            <v>NSW South / ACT</v>
          </cell>
          <cell r="F303" t="str">
            <v>Steven Blewitt</v>
          </cell>
          <cell r="G303">
            <v>0</v>
          </cell>
          <cell r="H303">
            <v>0</v>
          </cell>
          <cell r="I303">
            <v>0</v>
          </cell>
          <cell r="J303" t="str">
            <v>CI Not Received</v>
          </cell>
          <cell r="K303" t="str">
            <v>Civil Not Started</v>
          </cell>
        </row>
        <row r="304">
          <cell r="B304" t="str">
            <v>QBN5</v>
          </cell>
          <cell r="C304" t="str">
            <v>FSAM</v>
          </cell>
          <cell r="D304" t="str">
            <v>NSW</v>
          </cell>
          <cell r="E304" t="str">
            <v>NSW South / ACT</v>
          </cell>
          <cell r="F304" t="str">
            <v>Steven Blewitt</v>
          </cell>
          <cell r="G304">
            <v>0</v>
          </cell>
          <cell r="H304">
            <v>0</v>
          </cell>
          <cell r="I304">
            <v>0</v>
          </cell>
          <cell r="J304" t="str">
            <v>CI Not Received</v>
          </cell>
          <cell r="K304" t="str">
            <v>Civil Not Started</v>
          </cell>
        </row>
        <row r="305">
          <cell r="B305" t="str">
            <v>QBN6</v>
          </cell>
          <cell r="C305" t="str">
            <v>FSAM</v>
          </cell>
          <cell r="D305" t="e">
            <v>#N/A</v>
          </cell>
          <cell r="E305" t="e">
            <v>#N/A</v>
          </cell>
          <cell r="F305" t="e">
            <v>#N/A</v>
          </cell>
          <cell r="G305">
            <v>0</v>
          </cell>
          <cell r="H305">
            <v>0</v>
          </cell>
          <cell r="I305">
            <v>0</v>
          </cell>
          <cell r="J305" t="str">
            <v>CI Not Received</v>
          </cell>
          <cell r="K305" t="str">
            <v>Civil Not Started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Cover"/>
      <sheetName val="ROCK_OTR"/>
      <sheetName val="Data_Checks"/>
      <sheetName val="BOMBOQ"/>
      <sheetName val="BOQ Summary (Old)"/>
      <sheetName val="BOQ Summary Workings"/>
      <sheetName val="Cable Hauling"/>
      <sheetName val="rate master"/>
      <sheetName val="CSMD Listing"/>
      <sheetName val="list_fiber_cable"/>
      <sheetName val="Equipment"/>
      <sheetName val="Cabinet Tail Calculator"/>
      <sheetName val="New CAD Dump"/>
      <sheetName val="New CAD Dump Summary"/>
      <sheetName val="Aerial"/>
      <sheetName val="Cable Summary Details For NBN"/>
      <sheetName val="Cable Length Details"/>
      <sheetName val="Drum Schedule"/>
      <sheetName val="GNAF Counts"/>
      <sheetName val="Item ID in Use"/>
      <sheetName val="Map CAD to BOQ"/>
      <sheetName val="Change log"/>
    </sheetNames>
    <sheetDataSet>
      <sheetData sheetId="0">
        <row r="3">
          <cell r="S3" t="str">
            <v>Multi Haul</v>
          </cell>
        </row>
        <row r="4">
          <cell r="S4" t="str">
            <v>Single Haul</v>
          </cell>
        </row>
        <row r="38">
          <cell r="F3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862"/>
  <sheetViews>
    <sheetView tabSelected="1" zoomScale="80" zoomScaleNormal="80" workbookViewId="0">
      <pane ySplit="1020" activePane="bottomLeft"/>
      <selection activeCell="C1" sqref="C1"/>
      <selection pane="bottomLeft" activeCell="M724" sqref="M724"/>
    </sheetView>
  </sheetViews>
  <sheetFormatPr defaultColWidth="9" defaultRowHeight="14" x14ac:dyDescent="0.45"/>
  <cols>
    <col min="1" max="1" width="25.76171875" style="186" customWidth="1"/>
    <col min="2" max="2" width="11.64453125" style="186" customWidth="1"/>
    <col min="3" max="3" width="16" style="186" customWidth="1"/>
    <col min="4" max="4" width="13.46875" style="187" customWidth="1"/>
    <col min="5" max="5" width="8.703125" style="186" customWidth="1"/>
    <col min="6" max="6" width="11" style="186" customWidth="1"/>
    <col min="7" max="7" width="9.9375" style="186" customWidth="1"/>
    <col min="8" max="8" width="9.9375" style="188" customWidth="1"/>
    <col min="9" max="9" width="9.9375" style="189" customWidth="1"/>
    <col min="10" max="10" width="10.5859375" style="188" customWidth="1"/>
    <col min="11" max="11" width="10" style="188" customWidth="1"/>
    <col min="12" max="12" width="13.29296875" style="187" hidden="1" customWidth="1"/>
    <col min="13" max="14" width="9.703125" style="187" customWidth="1"/>
    <col min="15" max="15" width="64.8203125" style="187" customWidth="1"/>
    <col min="16" max="17" width="12.87890625" style="190" customWidth="1"/>
    <col min="18" max="18" width="12.3515625" style="190" customWidth="1"/>
    <col min="19" max="19" width="11.52734375" style="190" customWidth="1"/>
    <col min="20" max="20" width="11.234375" style="190" hidden="1" customWidth="1"/>
    <col min="21" max="21" width="13.3515625" style="191" bestFit="1" customWidth="1"/>
    <col min="22" max="22" width="12" style="191" customWidth="1"/>
    <col min="23" max="23" width="15.64453125" style="191" customWidth="1"/>
    <col min="24" max="24" width="12.234375" style="191" bestFit="1" customWidth="1"/>
    <col min="25" max="25" width="10.9375" style="186" customWidth="1"/>
    <col min="26" max="26" width="11.1171875" style="187" hidden="1" customWidth="1"/>
    <col min="27" max="27" width="14.41015625" style="186" hidden="1" customWidth="1"/>
    <col min="28" max="28" width="30.52734375" style="187" hidden="1" customWidth="1"/>
    <col min="29" max="29" width="21.9375" style="186" bestFit="1" customWidth="1"/>
    <col min="30" max="31" width="10.5859375" style="186" customWidth="1"/>
    <col min="32" max="32" width="11" style="186" customWidth="1"/>
    <col min="33" max="33" width="13.234375" style="186" customWidth="1"/>
    <col min="34" max="34" width="13.703125" style="187" customWidth="1"/>
    <col min="35" max="35" width="1.703125" style="187" customWidth="1"/>
    <col min="36" max="36" width="3.52734375" style="187" customWidth="1"/>
    <col min="37" max="37" width="3.52734375" style="192" customWidth="1"/>
    <col min="38" max="38" width="18.5859375" style="187" customWidth="1"/>
    <col min="39" max="39" width="12.8203125" style="187" customWidth="1"/>
    <col min="40" max="40" width="18.5859375" style="187" customWidth="1"/>
    <col min="41" max="41" width="18.703125" style="187" customWidth="1"/>
    <col min="42" max="42" width="9.8203125" style="187" customWidth="1"/>
    <col min="43" max="43" width="11.234375" style="187" customWidth="1"/>
    <col min="44" max="44" width="12.5859375" style="187" customWidth="1"/>
    <col min="45" max="45" width="12.8203125" style="187" customWidth="1"/>
    <col min="46" max="46" width="39.76171875" style="187" customWidth="1"/>
    <col min="47" max="47" width="13.3515625" style="187" customWidth="1"/>
    <col min="48" max="48" width="9.8203125" style="187" customWidth="1"/>
    <col min="49" max="51" width="12.3515625" style="187" customWidth="1"/>
    <col min="52" max="52" width="19.8203125" style="187" customWidth="1"/>
    <col min="53" max="53" width="19.234375" style="187" bestFit="1" customWidth="1"/>
    <col min="54" max="54" width="19.8203125" style="187" bestFit="1" customWidth="1"/>
    <col min="55" max="55" width="13.46875" style="187" bestFit="1" customWidth="1"/>
    <col min="56" max="56" width="19.8203125" style="187" bestFit="1" customWidth="1"/>
    <col min="57" max="57" width="13.46875" style="187" bestFit="1" customWidth="1"/>
    <col min="58" max="58" width="19.8203125" style="187" bestFit="1" customWidth="1"/>
    <col min="59" max="59" width="13.46875" style="187" bestFit="1" customWidth="1"/>
    <col min="60" max="60" width="19.8203125" style="187" bestFit="1" customWidth="1"/>
    <col min="61" max="61" width="13.46875" style="187" bestFit="1" customWidth="1"/>
    <col min="62" max="62" width="19.8203125" style="187" bestFit="1" customWidth="1"/>
    <col min="63" max="63" width="18" style="187" bestFit="1" customWidth="1"/>
    <col min="64" max="64" width="24.3515625" style="187" bestFit="1" customWidth="1"/>
    <col min="65" max="16384" width="9" style="187"/>
  </cols>
  <sheetData>
    <row r="1" spans="1:64" s="6" customFormat="1" ht="49.95" customHeight="1" x14ac:dyDescent="0.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L1" s="7"/>
    </row>
    <row r="2" spans="1:64" s="26" customFormat="1" ht="14.35" customHeight="1" x14ac:dyDescent="0.5">
      <c r="A2" s="8" t="s">
        <v>34</v>
      </c>
      <c r="B2" s="8" t="s">
        <v>35</v>
      </c>
      <c r="C2" s="8" t="s">
        <v>36</v>
      </c>
      <c r="D2" s="9" t="s">
        <v>37</v>
      </c>
      <c r="E2" s="9">
        <v>43257</v>
      </c>
      <c r="F2" s="10">
        <v>43222</v>
      </c>
      <c r="G2" s="11">
        <v>43223</v>
      </c>
      <c r="H2" s="12">
        <v>43228</v>
      </c>
      <c r="I2" s="13">
        <v>43229</v>
      </c>
      <c r="J2" s="14">
        <f>G2+14</f>
        <v>43237</v>
      </c>
      <c r="K2" s="15">
        <v>43256</v>
      </c>
      <c r="L2" s="9"/>
      <c r="M2" s="10" t="str">
        <f t="shared" ref="M2:M65" si="0">TEXT(G2,"mmm-yy")</f>
        <v>May-18</v>
      </c>
      <c r="N2" s="10" t="str">
        <f t="shared" ref="N2:N65" si="1">TEXT(K2,"mmm-yy")</f>
        <v>Jun-18</v>
      </c>
      <c r="O2" s="16" t="s">
        <v>38</v>
      </c>
      <c r="P2" s="17" t="s">
        <v>39</v>
      </c>
      <c r="Q2" s="18">
        <v>6265.77</v>
      </c>
      <c r="R2" s="18">
        <v>7637.8819999999996</v>
      </c>
      <c r="S2" s="18">
        <f t="shared" ref="S2:S33" si="2">SUM(Q2:R2)</f>
        <v>13903.652</v>
      </c>
      <c r="T2" s="19">
        <f t="shared" ref="T2:T65" si="3">S2*1.1</f>
        <v>15294.017200000002</v>
      </c>
      <c r="U2" s="20">
        <v>3486.54</v>
      </c>
      <c r="V2" s="20"/>
      <c r="W2" s="21">
        <f t="shared" ref="W2:W65" si="4">SUM(U2:V2)</f>
        <v>3486.54</v>
      </c>
      <c r="X2" s="22">
        <f t="shared" ref="X2:X65" si="5">S2-W2</f>
        <v>10417.112000000001</v>
      </c>
      <c r="Y2" s="23">
        <f t="shared" ref="Y2:Y65" si="6">X2/S2</f>
        <v>0.74923566844164402</v>
      </c>
      <c r="Z2" s="8"/>
      <c r="AA2" s="10"/>
      <c r="AB2" s="16"/>
      <c r="AC2" s="24" t="s">
        <v>40</v>
      </c>
      <c r="AD2" s="10">
        <v>42817</v>
      </c>
      <c r="AE2" s="10">
        <v>42833</v>
      </c>
      <c r="AF2" s="8">
        <f>AE2-AD2</f>
        <v>16</v>
      </c>
      <c r="AG2" s="10">
        <v>42832</v>
      </c>
      <c r="AH2" s="25">
        <f>AG2-AE2</f>
        <v>-1</v>
      </c>
      <c r="AK2" s="27"/>
      <c r="AZ2"/>
      <c r="BA2"/>
      <c r="BB2"/>
      <c r="BC2"/>
      <c r="BD2"/>
      <c r="BE2"/>
      <c r="BF2"/>
      <c r="BG2"/>
      <c r="BH2"/>
      <c r="BI2"/>
      <c r="BJ2"/>
      <c r="BK2"/>
      <c r="BL2"/>
    </row>
    <row r="3" spans="1:64" s="38" customFormat="1" ht="14.35" customHeight="1" x14ac:dyDescent="0.5">
      <c r="A3" s="28" t="s">
        <v>41</v>
      </c>
      <c r="B3" s="28" t="s">
        <v>42</v>
      </c>
      <c r="C3" s="28" t="s">
        <v>43</v>
      </c>
      <c r="D3" s="29"/>
      <c r="E3" s="29"/>
      <c r="F3" s="11"/>
      <c r="G3" s="10">
        <v>43554</v>
      </c>
      <c r="H3" s="30"/>
      <c r="I3" s="31"/>
      <c r="J3" s="30"/>
      <c r="K3" s="30"/>
      <c r="L3" s="29"/>
      <c r="M3" s="11" t="str">
        <f t="shared" si="0"/>
        <v>Mar-19</v>
      </c>
      <c r="N3" s="10" t="str">
        <f t="shared" si="1"/>
        <v>Jan-00</v>
      </c>
      <c r="O3" s="17" t="s">
        <v>44</v>
      </c>
      <c r="P3" s="17" t="s">
        <v>45</v>
      </c>
      <c r="Q3" s="32">
        <v>1056.78</v>
      </c>
      <c r="R3" s="33"/>
      <c r="S3" s="18">
        <f t="shared" si="2"/>
        <v>1056.78</v>
      </c>
      <c r="T3" s="19">
        <f t="shared" si="3"/>
        <v>1162.4580000000001</v>
      </c>
      <c r="U3" s="34">
        <v>235</v>
      </c>
      <c r="V3" s="34"/>
      <c r="W3" s="21">
        <f t="shared" si="4"/>
        <v>235</v>
      </c>
      <c r="X3" s="21">
        <f t="shared" si="5"/>
        <v>821.78</v>
      </c>
      <c r="Y3" s="35">
        <f t="shared" si="6"/>
        <v>0.77762637445825999</v>
      </c>
      <c r="Z3" s="28"/>
      <c r="AA3" s="11">
        <f t="shared" ref="AA3:AA25" si="7">G3+14</f>
        <v>43568</v>
      </c>
      <c r="AB3" s="17"/>
      <c r="AC3" s="36" t="s">
        <v>46</v>
      </c>
      <c r="AD3" s="11" t="s">
        <v>47</v>
      </c>
      <c r="AE3" s="11">
        <v>42863</v>
      </c>
      <c r="AF3" s="28"/>
      <c r="AG3" s="11"/>
      <c r="AH3" s="37"/>
      <c r="AK3" s="39"/>
      <c r="AM3" s="40"/>
      <c r="AN3" s="41"/>
      <c r="AP3" s="26"/>
      <c r="AQ3" s="26"/>
      <c r="AR3"/>
      <c r="AS3"/>
      <c r="AT3"/>
    </row>
    <row r="4" spans="1:64" s="26" customFormat="1" ht="14.35" customHeight="1" x14ac:dyDescent="0.45">
      <c r="A4" s="28" t="s">
        <v>41</v>
      </c>
      <c r="B4" s="8" t="s">
        <v>35</v>
      </c>
      <c r="C4" s="42" t="s">
        <v>36</v>
      </c>
      <c r="D4" s="43" t="s">
        <v>48</v>
      </c>
      <c r="E4" s="9">
        <v>43354</v>
      </c>
      <c r="F4" s="10">
        <v>43315</v>
      </c>
      <c r="G4" s="10">
        <v>43315</v>
      </c>
      <c r="H4" s="44">
        <v>43284</v>
      </c>
      <c r="I4" s="44">
        <v>43341</v>
      </c>
      <c r="J4" s="14">
        <f>G4+14</f>
        <v>43329</v>
      </c>
      <c r="K4" s="15">
        <f>J4+14</f>
        <v>43343</v>
      </c>
      <c r="L4" s="9"/>
      <c r="M4" s="10" t="str">
        <f t="shared" si="0"/>
        <v>Aug-18</v>
      </c>
      <c r="N4" s="10" t="str">
        <f t="shared" si="1"/>
        <v>Aug-18</v>
      </c>
      <c r="O4" s="16" t="s">
        <v>49</v>
      </c>
      <c r="P4" s="18" t="s">
        <v>50</v>
      </c>
      <c r="Q4" s="45">
        <v>1035.19</v>
      </c>
      <c r="R4" s="32">
        <v>4631.1112339999991</v>
      </c>
      <c r="S4" s="18">
        <f t="shared" si="2"/>
        <v>5666.3012339999987</v>
      </c>
      <c r="T4" s="19">
        <f t="shared" si="3"/>
        <v>6232.9313573999989</v>
      </c>
      <c r="U4" s="20">
        <v>2974.72</v>
      </c>
      <c r="V4" s="20"/>
      <c r="W4" s="21">
        <f t="shared" si="4"/>
        <v>2974.72</v>
      </c>
      <c r="X4" s="46">
        <f t="shared" si="5"/>
        <v>2691.5812339999989</v>
      </c>
      <c r="Y4" s="47">
        <f t="shared" si="6"/>
        <v>0.4750155565061509</v>
      </c>
      <c r="Z4" s="20"/>
      <c r="AA4" s="11">
        <f t="shared" si="7"/>
        <v>43329</v>
      </c>
      <c r="AB4" s="20"/>
      <c r="AC4" s="24" t="s">
        <v>40</v>
      </c>
      <c r="AD4" s="10" t="s">
        <v>47</v>
      </c>
      <c r="AE4" s="10">
        <v>42920</v>
      </c>
      <c r="AF4" s="48"/>
      <c r="AG4" s="10"/>
      <c r="AH4" s="25"/>
      <c r="AK4" s="27"/>
    </row>
    <row r="5" spans="1:64" s="26" customFormat="1" ht="14.35" customHeight="1" x14ac:dyDescent="0.5">
      <c r="A5" s="28" t="s">
        <v>34</v>
      </c>
      <c r="B5" s="8" t="s">
        <v>35</v>
      </c>
      <c r="C5" s="8" t="s">
        <v>51</v>
      </c>
      <c r="D5" s="9" t="s">
        <v>52</v>
      </c>
      <c r="E5" s="9">
        <v>43472</v>
      </c>
      <c r="F5" s="10">
        <v>43416</v>
      </c>
      <c r="G5" s="10">
        <v>43416</v>
      </c>
      <c r="H5" s="15">
        <v>43431</v>
      </c>
      <c r="I5" s="49">
        <v>43447</v>
      </c>
      <c r="J5" s="14">
        <f>G5+14</f>
        <v>43430</v>
      </c>
      <c r="K5" s="15">
        <v>43473</v>
      </c>
      <c r="L5" s="9"/>
      <c r="M5" s="11" t="str">
        <f t="shared" si="0"/>
        <v>Nov-18</v>
      </c>
      <c r="N5" s="10" t="str">
        <f t="shared" si="1"/>
        <v>Jan-19</v>
      </c>
      <c r="O5" s="50" t="s">
        <v>53</v>
      </c>
      <c r="P5" s="50" t="s">
        <v>54</v>
      </c>
      <c r="Q5" s="45">
        <v>8773.94</v>
      </c>
      <c r="R5" s="18">
        <v>11072.91</v>
      </c>
      <c r="S5" s="18">
        <f t="shared" si="2"/>
        <v>19846.849999999999</v>
      </c>
      <c r="T5" s="19">
        <f t="shared" si="3"/>
        <v>21831.535</v>
      </c>
      <c r="U5" s="34">
        <f>2528.6+8438.75</f>
        <v>10967.35</v>
      </c>
      <c r="V5" s="20"/>
      <c r="W5" s="21">
        <f t="shared" si="4"/>
        <v>10967.35</v>
      </c>
      <c r="X5" s="22">
        <f t="shared" si="5"/>
        <v>8879.4999999999982</v>
      </c>
      <c r="Y5" s="35">
        <f t="shared" si="6"/>
        <v>0.4474009729503674</v>
      </c>
      <c r="Z5" s="20"/>
      <c r="AA5" s="11">
        <f t="shared" si="7"/>
        <v>43430</v>
      </c>
      <c r="AB5" s="20"/>
      <c r="AC5" s="24" t="s">
        <v>55</v>
      </c>
      <c r="AD5" s="10">
        <v>42969</v>
      </c>
      <c r="AE5" s="10"/>
      <c r="AF5" s="48"/>
      <c r="AG5" s="10">
        <v>43008</v>
      </c>
      <c r="AH5" s="25"/>
      <c r="AK5" s="27"/>
      <c r="AM5"/>
    </row>
    <row r="6" spans="1:64" s="26" customFormat="1" ht="14.35" customHeight="1" x14ac:dyDescent="0.5">
      <c r="A6" s="28" t="s">
        <v>34</v>
      </c>
      <c r="B6" s="8" t="s">
        <v>56</v>
      </c>
      <c r="C6" s="8" t="s">
        <v>57</v>
      </c>
      <c r="D6" s="9"/>
      <c r="E6" s="9"/>
      <c r="F6" s="10"/>
      <c r="G6" s="10">
        <v>43554</v>
      </c>
      <c r="H6" s="51"/>
      <c r="I6" s="52"/>
      <c r="J6" s="51"/>
      <c r="K6" s="51"/>
      <c r="L6" s="9"/>
      <c r="M6" s="10" t="str">
        <f t="shared" si="0"/>
        <v>Mar-19</v>
      </c>
      <c r="N6" s="10" t="str">
        <f t="shared" si="1"/>
        <v>Jan-00</v>
      </c>
      <c r="O6" s="16" t="s">
        <v>58</v>
      </c>
      <c r="P6" s="18" t="s">
        <v>59</v>
      </c>
      <c r="Q6" s="45">
        <v>2322.6892857142852</v>
      </c>
      <c r="R6" s="18"/>
      <c r="S6" s="18">
        <f t="shared" si="2"/>
        <v>2322.6892857142852</v>
      </c>
      <c r="T6" s="19">
        <f t="shared" si="3"/>
        <v>2554.9582142857139</v>
      </c>
      <c r="U6" s="20"/>
      <c r="V6" s="20"/>
      <c r="W6" s="21">
        <f t="shared" si="4"/>
        <v>0</v>
      </c>
      <c r="X6" s="22">
        <f t="shared" si="5"/>
        <v>2322.6892857142852</v>
      </c>
      <c r="Y6" s="35">
        <f t="shared" si="6"/>
        <v>1</v>
      </c>
      <c r="Z6" s="20"/>
      <c r="AA6" s="11">
        <f t="shared" si="7"/>
        <v>43568</v>
      </c>
      <c r="AB6" s="53" t="s">
        <v>60</v>
      </c>
      <c r="AC6" s="24" t="s">
        <v>61</v>
      </c>
      <c r="AD6" s="10">
        <v>43007</v>
      </c>
      <c r="AE6" s="10">
        <v>43026</v>
      </c>
      <c r="AF6" s="48">
        <f>AE6-AD6</f>
        <v>19</v>
      </c>
      <c r="AG6" s="10">
        <v>43034</v>
      </c>
      <c r="AH6" s="25">
        <f t="shared" ref="AH6:AH25" si="8">AG6-AE6</f>
        <v>8</v>
      </c>
      <c r="AK6" s="27"/>
      <c r="AM6"/>
      <c r="AR6"/>
    </row>
    <row r="7" spans="1:64" s="26" customFormat="1" ht="14.35" customHeight="1" x14ac:dyDescent="0.5">
      <c r="A7" s="28" t="s">
        <v>41</v>
      </c>
      <c r="B7" s="8" t="s">
        <v>35</v>
      </c>
      <c r="C7" s="8" t="s">
        <v>36</v>
      </c>
      <c r="D7" s="9" t="s">
        <v>62</v>
      </c>
      <c r="E7" s="9">
        <v>43257</v>
      </c>
      <c r="F7" s="10">
        <v>43237</v>
      </c>
      <c r="G7" s="10">
        <v>43237</v>
      </c>
      <c r="H7" s="14">
        <v>43238</v>
      </c>
      <c r="I7" s="54">
        <v>43250</v>
      </c>
      <c r="J7" s="14">
        <v>43250</v>
      </c>
      <c r="K7" s="14">
        <v>43258</v>
      </c>
      <c r="L7" s="9"/>
      <c r="M7" s="10" t="str">
        <f t="shared" si="0"/>
        <v>May-18</v>
      </c>
      <c r="N7" s="10" t="str">
        <f t="shared" si="1"/>
        <v>Jun-18</v>
      </c>
      <c r="O7" s="16" t="s">
        <v>63</v>
      </c>
      <c r="P7" s="18" t="s">
        <v>64</v>
      </c>
      <c r="Q7" s="45">
        <v>82.91</v>
      </c>
      <c r="R7" s="18">
        <v>6597.0000000000009</v>
      </c>
      <c r="S7" s="18">
        <f t="shared" si="2"/>
        <v>6679.9100000000008</v>
      </c>
      <c r="T7" s="19">
        <f t="shared" si="3"/>
        <v>7347.9010000000017</v>
      </c>
      <c r="U7" s="20">
        <v>4651.88</v>
      </c>
      <c r="V7" s="20"/>
      <c r="W7" s="21">
        <f t="shared" si="4"/>
        <v>4651.88</v>
      </c>
      <c r="X7" s="22">
        <f t="shared" si="5"/>
        <v>2028.0300000000007</v>
      </c>
      <c r="Y7" s="35">
        <f t="shared" si="6"/>
        <v>0.30360139582718937</v>
      </c>
      <c r="Z7" s="20"/>
      <c r="AA7" s="11">
        <f t="shared" si="7"/>
        <v>43251</v>
      </c>
      <c r="AB7" s="20"/>
      <c r="AC7" s="24" t="s">
        <v>46</v>
      </c>
      <c r="AD7" s="10" t="s">
        <v>47</v>
      </c>
      <c r="AE7" s="10">
        <v>43027</v>
      </c>
      <c r="AF7" s="48"/>
      <c r="AG7" s="10">
        <v>43061</v>
      </c>
      <c r="AH7" s="25">
        <f t="shared" si="8"/>
        <v>34</v>
      </c>
      <c r="AK7" s="27"/>
      <c r="AM7"/>
      <c r="AR7"/>
    </row>
    <row r="8" spans="1:64" s="26" customFormat="1" ht="14.35" customHeight="1" x14ac:dyDescent="0.5">
      <c r="A8" s="28" t="s">
        <v>34</v>
      </c>
      <c r="B8" s="8" t="s">
        <v>65</v>
      </c>
      <c r="C8" s="8" t="s">
        <v>57</v>
      </c>
      <c r="D8" s="9" t="s">
        <v>66</v>
      </c>
      <c r="E8" s="9">
        <v>43448</v>
      </c>
      <c r="F8" s="10">
        <v>43420</v>
      </c>
      <c r="G8" s="10">
        <v>43420</v>
      </c>
      <c r="H8" s="14">
        <v>43420</v>
      </c>
      <c r="I8" s="54">
        <v>43432</v>
      </c>
      <c r="J8" s="14">
        <f>G8+14</f>
        <v>43434</v>
      </c>
      <c r="K8" s="14">
        <f>J8+14</f>
        <v>43448</v>
      </c>
      <c r="L8" s="9"/>
      <c r="M8" s="10" t="str">
        <f t="shared" si="0"/>
        <v>Nov-18</v>
      </c>
      <c r="N8" s="10" t="str">
        <f t="shared" si="1"/>
        <v>Dec-18</v>
      </c>
      <c r="O8" s="16" t="s">
        <v>67</v>
      </c>
      <c r="P8" s="18" t="s">
        <v>68</v>
      </c>
      <c r="Q8" s="45">
        <v>4802.37</v>
      </c>
      <c r="R8" s="18">
        <v>3300.7529999999997</v>
      </c>
      <c r="S8" s="18">
        <f t="shared" si="2"/>
        <v>8103.1229999999996</v>
      </c>
      <c r="T8" s="19">
        <f t="shared" si="3"/>
        <v>8913.435300000001</v>
      </c>
      <c r="U8" s="20"/>
      <c r="V8" s="20"/>
      <c r="W8" s="21">
        <f t="shared" si="4"/>
        <v>0</v>
      </c>
      <c r="X8" s="22">
        <f t="shared" si="5"/>
        <v>8103.1229999999996</v>
      </c>
      <c r="Y8" s="35">
        <f t="shared" si="6"/>
        <v>1</v>
      </c>
      <c r="Z8" s="20"/>
      <c r="AA8" s="11">
        <f t="shared" si="7"/>
        <v>43434</v>
      </c>
      <c r="AB8" s="20"/>
      <c r="AC8" s="24" t="s">
        <v>69</v>
      </c>
      <c r="AD8" s="10">
        <v>43005</v>
      </c>
      <c r="AE8" s="10">
        <v>43031</v>
      </c>
      <c r="AF8" s="48">
        <f>AE8-AD8</f>
        <v>26</v>
      </c>
      <c r="AG8" s="10">
        <v>43040</v>
      </c>
      <c r="AH8" s="25">
        <f t="shared" si="8"/>
        <v>9</v>
      </c>
      <c r="AK8" s="27"/>
      <c r="AM8"/>
      <c r="AR8"/>
    </row>
    <row r="9" spans="1:64" s="26" customFormat="1" ht="14.35" customHeight="1" x14ac:dyDescent="0.5">
      <c r="A9" s="28" t="s">
        <v>41</v>
      </c>
      <c r="B9" s="8" t="s">
        <v>35</v>
      </c>
      <c r="C9" s="8" t="s">
        <v>36</v>
      </c>
      <c r="D9" s="9" t="s">
        <v>70</v>
      </c>
      <c r="E9" s="9">
        <v>43305</v>
      </c>
      <c r="F9" s="10">
        <v>43257</v>
      </c>
      <c r="G9" s="10">
        <v>43258</v>
      </c>
      <c r="H9" s="55">
        <v>43257</v>
      </c>
      <c r="I9" s="54">
        <v>43270</v>
      </c>
      <c r="J9" s="14">
        <f>G9+14</f>
        <v>43272</v>
      </c>
      <c r="K9" s="15">
        <v>43305</v>
      </c>
      <c r="L9" s="9"/>
      <c r="M9" s="10" t="str">
        <f t="shared" si="0"/>
        <v>Jun-18</v>
      </c>
      <c r="N9" s="10" t="str">
        <f t="shared" si="1"/>
        <v>Jul-18</v>
      </c>
      <c r="O9" s="16" t="s">
        <v>71</v>
      </c>
      <c r="P9" s="18" t="s">
        <v>72</v>
      </c>
      <c r="Q9" s="45">
        <v>1711.6</v>
      </c>
      <c r="R9" s="18">
        <v>1825.26</v>
      </c>
      <c r="S9" s="18">
        <f t="shared" si="2"/>
        <v>3536.8599999999997</v>
      </c>
      <c r="T9" s="19">
        <f t="shared" si="3"/>
        <v>3890.5459999999998</v>
      </c>
      <c r="U9" s="20">
        <v>1221.19</v>
      </c>
      <c r="V9" s="20"/>
      <c r="W9" s="21">
        <f t="shared" si="4"/>
        <v>1221.19</v>
      </c>
      <c r="X9" s="22">
        <f t="shared" si="5"/>
        <v>2315.6699999999996</v>
      </c>
      <c r="Y9" s="35">
        <f t="shared" si="6"/>
        <v>0.65472481240422287</v>
      </c>
      <c r="Z9" s="20"/>
      <c r="AA9" s="11">
        <f t="shared" si="7"/>
        <v>43272</v>
      </c>
      <c r="AB9" s="20"/>
      <c r="AC9" s="36" t="s">
        <v>73</v>
      </c>
      <c r="AD9" s="10" t="s">
        <v>47</v>
      </c>
      <c r="AE9" s="10">
        <v>43076</v>
      </c>
      <c r="AF9" s="48"/>
      <c r="AG9" s="10">
        <v>43084</v>
      </c>
      <c r="AH9" s="25">
        <f t="shared" si="8"/>
        <v>8</v>
      </c>
      <c r="AK9" s="27"/>
      <c r="AM9"/>
    </row>
    <row r="10" spans="1:64" s="26" customFormat="1" ht="13.35" customHeight="1" x14ac:dyDescent="0.5">
      <c r="A10" s="28" t="s">
        <v>41</v>
      </c>
      <c r="B10" s="8" t="s">
        <v>35</v>
      </c>
      <c r="C10" s="8" t="s">
        <v>36</v>
      </c>
      <c r="D10" s="9" t="s">
        <v>74</v>
      </c>
      <c r="E10" s="9">
        <v>43382</v>
      </c>
      <c r="F10" s="10">
        <v>43348</v>
      </c>
      <c r="G10" s="10">
        <v>43348</v>
      </c>
      <c r="H10" s="44">
        <v>43348</v>
      </c>
      <c r="I10" s="44">
        <v>43368</v>
      </c>
      <c r="J10" s="14">
        <f>G10+14</f>
        <v>43362</v>
      </c>
      <c r="K10" s="14">
        <f>I10+14</f>
        <v>43382</v>
      </c>
      <c r="L10" s="9"/>
      <c r="M10" s="10" t="str">
        <f t="shared" si="0"/>
        <v>Sep-18</v>
      </c>
      <c r="N10" s="10" t="str">
        <f t="shared" si="1"/>
        <v>Oct-18</v>
      </c>
      <c r="O10" s="56" t="s">
        <v>75</v>
      </c>
      <c r="P10" s="18" t="s">
        <v>76</v>
      </c>
      <c r="Q10" s="45">
        <v>2066.42</v>
      </c>
      <c r="R10" s="45">
        <v>8430.59</v>
      </c>
      <c r="S10" s="18">
        <f t="shared" si="2"/>
        <v>10497.01</v>
      </c>
      <c r="T10" s="19">
        <f t="shared" si="3"/>
        <v>11546.711000000001</v>
      </c>
      <c r="U10" s="20">
        <v>4673.01</v>
      </c>
      <c r="V10" s="20"/>
      <c r="W10" s="21">
        <f t="shared" si="4"/>
        <v>4673.01</v>
      </c>
      <c r="X10" s="46">
        <f t="shared" si="5"/>
        <v>5824</v>
      </c>
      <c r="Y10" s="35">
        <f t="shared" si="6"/>
        <v>0.55482465959354144</v>
      </c>
      <c r="Z10" s="20"/>
      <c r="AA10" s="11">
        <f t="shared" si="7"/>
        <v>43362</v>
      </c>
      <c r="AB10" s="20"/>
      <c r="AC10" s="24" t="s">
        <v>77</v>
      </c>
      <c r="AD10" s="10" t="s">
        <v>47</v>
      </c>
      <c r="AE10" s="10">
        <v>43081</v>
      </c>
      <c r="AF10" s="48"/>
      <c r="AG10" s="10">
        <v>43104</v>
      </c>
      <c r="AH10" s="25">
        <f t="shared" si="8"/>
        <v>23</v>
      </c>
      <c r="AK10" s="27"/>
      <c r="AM10"/>
    </row>
    <row r="11" spans="1:64" s="26" customFormat="1" ht="14.25" customHeight="1" x14ac:dyDescent="0.45">
      <c r="A11" s="28" t="s">
        <v>41</v>
      </c>
      <c r="B11" s="28" t="s">
        <v>42</v>
      </c>
      <c r="C11" s="28" t="s">
        <v>43</v>
      </c>
      <c r="D11" s="9"/>
      <c r="E11" s="9"/>
      <c r="F11" s="10">
        <v>43516</v>
      </c>
      <c r="G11" s="10">
        <v>43516</v>
      </c>
      <c r="H11" s="51">
        <v>43523</v>
      </c>
      <c r="I11" s="52"/>
      <c r="J11" s="51">
        <f>G11+14</f>
        <v>43530</v>
      </c>
      <c r="K11" s="51">
        <f>J11+14</f>
        <v>43544</v>
      </c>
      <c r="L11" s="9"/>
      <c r="M11" s="10" t="str">
        <f t="shared" si="0"/>
        <v>Feb-19</v>
      </c>
      <c r="N11" s="10" t="str">
        <f t="shared" si="1"/>
        <v>Mar-19</v>
      </c>
      <c r="O11" s="16" t="s">
        <v>78</v>
      </c>
      <c r="P11" s="18" t="s">
        <v>79</v>
      </c>
      <c r="Q11" s="45">
        <v>671.72</v>
      </c>
      <c r="R11" s="18">
        <v>2114.6</v>
      </c>
      <c r="S11" s="18">
        <f t="shared" si="2"/>
        <v>2786.3199999999997</v>
      </c>
      <c r="T11" s="19">
        <f t="shared" si="3"/>
        <v>3064.9519999999998</v>
      </c>
      <c r="U11" s="20"/>
      <c r="V11" s="20"/>
      <c r="W11" s="21">
        <f t="shared" si="4"/>
        <v>0</v>
      </c>
      <c r="X11" s="22">
        <f t="shared" si="5"/>
        <v>2786.3199999999997</v>
      </c>
      <c r="Y11" s="35">
        <f t="shared" si="6"/>
        <v>1</v>
      </c>
      <c r="Z11" s="20"/>
      <c r="AA11" s="11">
        <f t="shared" si="7"/>
        <v>43530</v>
      </c>
      <c r="AB11" s="20"/>
      <c r="AC11" s="24" t="s">
        <v>61</v>
      </c>
      <c r="AD11" s="10" t="s">
        <v>47</v>
      </c>
      <c r="AE11" s="10">
        <v>43104</v>
      </c>
      <c r="AF11" s="48"/>
      <c r="AG11" s="10">
        <v>43146</v>
      </c>
      <c r="AH11" s="25">
        <f t="shared" si="8"/>
        <v>42</v>
      </c>
      <c r="AK11" s="27"/>
    </row>
    <row r="12" spans="1:64" s="26" customFormat="1" ht="14.25" customHeight="1" x14ac:dyDescent="0.45">
      <c r="A12" s="28" t="s">
        <v>41</v>
      </c>
      <c r="B12" s="28" t="s">
        <v>42</v>
      </c>
      <c r="C12" s="28" t="s">
        <v>43</v>
      </c>
      <c r="D12" s="9"/>
      <c r="E12" s="9"/>
      <c r="F12" s="10"/>
      <c r="G12" s="10">
        <v>43554</v>
      </c>
      <c r="H12" s="51"/>
      <c r="I12" s="52"/>
      <c r="J12" s="51"/>
      <c r="K12" s="51"/>
      <c r="L12" s="9"/>
      <c r="M12" s="10" t="str">
        <f t="shared" si="0"/>
        <v>Mar-19</v>
      </c>
      <c r="N12" s="10" t="str">
        <f t="shared" si="1"/>
        <v>Jan-00</v>
      </c>
      <c r="O12" s="16" t="s">
        <v>80</v>
      </c>
      <c r="P12" s="18" t="s">
        <v>81</v>
      </c>
      <c r="Q12" s="45">
        <v>3447.12</v>
      </c>
      <c r="R12" s="18"/>
      <c r="S12" s="18">
        <f t="shared" si="2"/>
        <v>3447.12</v>
      </c>
      <c r="T12" s="19">
        <f t="shared" si="3"/>
        <v>3791.8320000000003</v>
      </c>
      <c r="U12" s="20"/>
      <c r="V12" s="20"/>
      <c r="W12" s="21">
        <f t="shared" si="4"/>
        <v>0</v>
      </c>
      <c r="X12" s="22">
        <f t="shared" si="5"/>
        <v>3447.12</v>
      </c>
      <c r="Y12" s="35">
        <f t="shared" si="6"/>
        <v>1</v>
      </c>
      <c r="Z12" s="20"/>
      <c r="AA12" s="11">
        <f t="shared" si="7"/>
        <v>43568</v>
      </c>
      <c r="AB12" s="20"/>
      <c r="AC12" s="24" t="s">
        <v>77</v>
      </c>
      <c r="AD12" s="10" t="s">
        <v>47</v>
      </c>
      <c r="AE12" s="10">
        <v>43104</v>
      </c>
      <c r="AF12" s="48"/>
      <c r="AG12" s="10">
        <v>43146</v>
      </c>
      <c r="AH12" s="25">
        <f t="shared" si="8"/>
        <v>42</v>
      </c>
      <c r="AK12" s="27"/>
    </row>
    <row r="13" spans="1:64" s="26" customFormat="1" ht="14.25" customHeight="1" x14ac:dyDescent="0.45">
      <c r="A13" s="28" t="s">
        <v>41</v>
      </c>
      <c r="B13" s="28" t="s">
        <v>42</v>
      </c>
      <c r="C13" s="28" t="s">
        <v>43</v>
      </c>
      <c r="D13" s="9"/>
      <c r="E13" s="9"/>
      <c r="F13" s="10"/>
      <c r="G13" s="10">
        <v>43554</v>
      </c>
      <c r="H13" s="51"/>
      <c r="I13" s="52"/>
      <c r="J13" s="51"/>
      <c r="K13" s="51"/>
      <c r="L13" s="9"/>
      <c r="M13" s="10" t="str">
        <f t="shared" si="0"/>
        <v>Mar-19</v>
      </c>
      <c r="N13" s="10" t="str">
        <f t="shared" si="1"/>
        <v>Jan-00</v>
      </c>
      <c r="O13" s="16" t="s">
        <v>82</v>
      </c>
      <c r="P13" s="18" t="s">
        <v>83</v>
      </c>
      <c r="Q13" s="45">
        <v>731.99</v>
      </c>
      <c r="R13" s="18"/>
      <c r="S13" s="18">
        <f t="shared" si="2"/>
        <v>731.99</v>
      </c>
      <c r="T13" s="19">
        <f t="shared" si="3"/>
        <v>805.18900000000008</v>
      </c>
      <c r="U13" s="20"/>
      <c r="V13" s="20"/>
      <c r="W13" s="21">
        <f t="shared" si="4"/>
        <v>0</v>
      </c>
      <c r="X13" s="22">
        <f t="shared" si="5"/>
        <v>731.99</v>
      </c>
      <c r="Y13" s="35">
        <f t="shared" si="6"/>
        <v>1</v>
      </c>
      <c r="Z13" s="20"/>
      <c r="AA13" s="11">
        <f t="shared" si="7"/>
        <v>43568</v>
      </c>
      <c r="AB13" s="20"/>
      <c r="AC13" s="24" t="s">
        <v>77</v>
      </c>
      <c r="AD13" s="10" t="s">
        <v>47</v>
      </c>
      <c r="AE13" s="10">
        <v>43109</v>
      </c>
      <c r="AF13" s="48"/>
      <c r="AG13" s="10">
        <v>43158</v>
      </c>
      <c r="AH13" s="25">
        <f t="shared" si="8"/>
        <v>49</v>
      </c>
      <c r="AK13" s="27"/>
    </row>
    <row r="14" spans="1:64" s="26" customFormat="1" ht="14.25" customHeight="1" x14ac:dyDescent="0.45">
      <c r="A14" s="28" t="s">
        <v>41</v>
      </c>
      <c r="B14" s="28" t="s">
        <v>42</v>
      </c>
      <c r="C14" s="28" t="s">
        <v>43</v>
      </c>
      <c r="D14" s="9"/>
      <c r="E14" s="9"/>
      <c r="F14" s="10">
        <v>43523</v>
      </c>
      <c r="G14" s="10">
        <v>43525</v>
      </c>
      <c r="H14" s="51">
        <v>43525</v>
      </c>
      <c r="I14" s="52"/>
      <c r="J14" s="14">
        <f>G14+14</f>
        <v>43539</v>
      </c>
      <c r="K14" s="51">
        <f>J14+14</f>
        <v>43553</v>
      </c>
      <c r="L14" s="9"/>
      <c r="M14" s="10" t="str">
        <f t="shared" si="0"/>
        <v>Mar-19</v>
      </c>
      <c r="N14" s="10" t="str">
        <f t="shared" si="1"/>
        <v>Mar-19</v>
      </c>
      <c r="O14" s="16" t="s">
        <v>84</v>
      </c>
      <c r="P14" s="18" t="s">
        <v>85</v>
      </c>
      <c r="Q14" s="45">
        <v>2209.46</v>
      </c>
      <c r="R14" s="45">
        <v>3782.49</v>
      </c>
      <c r="S14" s="18">
        <f t="shared" si="2"/>
        <v>5991.95</v>
      </c>
      <c r="T14" s="19">
        <f t="shared" si="3"/>
        <v>6591.1450000000004</v>
      </c>
      <c r="U14" s="20">
        <v>3411.2</v>
      </c>
      <c r="V14" s="20"/>
      <c r="W14" s="57">
        <f t="shared" si="4"/>
        <v>3411.2</v>
      </c>
      <c r="X14" s="58">
        <f t="shared" si="5"/>
        <v>2580.75</v>
      </c>
      <c r="Y14" s="59">
        <f t="shared" si="6"/>
        <v>0.43070285967005734</v>
      </c>
      <c r="Z14" s="8"/>
      <c r="AA14" s="10">
        <f t="shared" si="7"/>
        <v>43539</v>
      </c>
      <c r="AB14" s="20"/>
      <c r="AC14" s="24" t="s">
        <v>77</v>
      </c>
      <c r="AD14" s="10" t="s">
        <v>47</v>
      </c>
      <c r="AE14" s="10">
        <v>43088</v>
      </c>
      <c r="AF14" s="48"/>
      <c r="AG14" s="10">
        <v>43130</v>
      </c>
      <c r="AH14" s="25">
        <f t="shared" si="8"/>
        <v>42</v>
      </c>
      <c r="AK14" s="27"/>
    </row>
    <row r="15" spans="1:64" s="26" customFormat="1" ht="14.25" customHeight="1" x14ac:dyDescent="0.45">
      <c r="A15" s="28" t="s">
        <v>41</v>
      </c>
      <c r="B15" s="28" t="s">
        <v>42</v>
      </c>
      <c r="C15" s="28" t="s">
        <v>43</v>
      </c>
      <c r="D15" s="9"/>
      <c r="E15" s="9"/>
      <c r="F15" s="10">
        <v>43516</v>
      </c>
      <c r="G15" s="10">
        <v>43517</v>
      </c>
      <c r="H15" s="15">
        <v>43517</v>
      </c>
      <c r="I15" s="49"/>
      <c r="J15" s="51">
        <f>G15+14</f>
        <v>43531</v>
      </c>
      <c r="K15" s="51">
        <f>J15+14</f>
        <v>43545</v>
      </c>
      <c r="L15" s="9"/>
      <c r="M15" s="10" t="str">
        <f t="shared" si="0"/>
        <v>Feb-19</v>
      </c>
      <c r="N15" s="10" t="str">
        <f t="shared" si="1"/>
        <v>Mar-19</v>
      </c>
      <c r="O15" s="16" t="s">
        <v>86</v>
      </c>
      <c r="P15" s="18" t="s">
        <v>79</v>
      </c>
      <c r="Q15" s="45">
        <v>1400</v>
      </c>
      <c r="R15" s="60">
        <v>2114.6</v>
      </c>
      <c r="S15" s="18">
        <f t="shared" si="2"/>
        <v>3514.6</v>
      </c>
      <c r="T15" s="19">
        <f t="shared" si="3"/>
        <v>3866.0600000000004</v>
      </c>
      <c r="U15" s="20"/>
      <c r="V15" s="20"/>
      <c r="W15" s="21">
        <f t="shared" si="4"/>
        <v>0</v>
      </c>
      <c r="X15" s="22">
        <f t="shared" si="5"/>
        <v>3514.6</v>
      </c>
      <c r="Y15" s="35">
        <f t="shared" si="6"/>
        <v>1</v>
      </c>
      <c r="Z15" s="20"/>
      <c r="AA15" s="11">
        <f t="shared" si="7"/>
        <v>43531</v>
      </c>
      <c r="AB15" s="20"/>
      <c r="AC15" s="24" t="s">
        <v>61</v>
      </c>
      <c r="AD15" s="10" t="s">
        <v>47</v>
      </c>
      <c r="AE15" s="10">
        <v>43132</v>
      </c>
      <c r="AF15" s="48"/>
      <c r="AG15" s="10">
        <v>43160</v>
      </c>
      <c r="AH15" s="25">
        <f t="shared" si="8"/>
        <v>28</v>
      </c>
      <c r="AK15" s="27"/>
    </row>
    <row r="16" spans="1:64" s="26" customFormat="1" ht="14.25" customHeight="1" x14ac:dyDescent="0.45">
      <c r="A16" s="28" t="s">
        <v>41</v>
      </c>
      <c r="B16" s="8" t="s">
        <v>35</v>
      </c>
      <c r="C16" s="8" t="s">
        <v>36</v>
      </c>
      <c r="D16" s="9" t="s">
        <v>87</v>
      </c>
      <c r="E16" s="9">
        <v>43315</v>
      </c>
      <c r="F16" s="10">
        <v>43278</v>
      </c>
      <c r="G16" s="11">
        <v>43278</v>
      </c>
      <c r="H16" s="15">
        <v>43278</v>
      </c>
      <c r="I16" s="49">
        <v>43307</v>
      </c>
      <c r="J16" s="14">
        <f>G16+14</f>
        <v>43292</v>
      </c>
      <c r="K16" s="14">
        <v>43314</v>
      </c>
      <c r="L16" s="9"/>
      <c r="M16" s="10" t="str">
        <f t="shared" si="0"/>
        <v>Jun-18</v>
      </c>
      <c r="N16" s="10" t="str">
        <f t="shared" si="1"/>
        <v>Aug-18</v>
      </c>
      <c r="O16" s="16" t="s">
        <v>88</v>
      </c>
      <c r="P16" s="18" t="s">
        <v>89</v>
      </c>
      <c r="Q16" s="45">
        <v>1240.76</v>
      </c>
      <c r="R16" s="45">
        <v>10448.27</v>
      </c>
      <c r="S16" s="18">
        <f t="shared" si="2"/>
        <v>11689.03</v>
      </c>
      <c r="T16" s="19">
        <f t="shared" si="3"/>
        <v>12857.933000000001</v>
      </c>
      <c r="U16" s="20"/>
      <c r="V16" s="20"/>
      <c r="W16" s="21">
        <f t="shared" si="4"/>
        <v>0</v>
      </c>
      <c r="X16" s="22">
        <f t="shared" si="5"/>
        <v>11689.03</v>
      </c>
      <c r="Y16" s="35">
        <f t="shared" si="6"/>
        <v>1</v>
      </c>
      <c r="Z16" s="20"/>
      <c r="AA16" s="11">
        <f t="shared" si="7"/>
        <v>43292</v>
      </c>
      <c r="AB16" s="20"/>
      <c r="AC16" s="24" t="s">
        <v>77</v>
      </c>
      <c r="AD16" s="10" t="s">
        <v>47</v>
      </c>
      <c r="AE16" s="10">
        <v>43151</v>
      </c>
      <c r="AF16" s="48"/>
      <c r="AG16" s="10">
        <v>43181</v>
      </c>
      <c r="AH16" s="25">
        <f t="shared" si="8"/>
        <v>30</v>
      </c>
      <c r="AK16" s="27"/>
    </row>
    <row r="17" spans="1:40" s="26" customFormat="1" ht="14.25" customHeight="1" x14ac:dyDescent="0.45">
      <c r="A17" s="28" t="s">
        <v>41</v>
      </c>
      <c r="B17" s="28" t="s">
        <v>42</v>
      </c>
      <c r="C17" s="28" t="s">
        <v>43</v>
      </c>
      <c r="D17" s="9"/>
      <c r="E17" s="9"/>
      <c r="F17" s="10"/>
      <c r="G17" s="10">
        <v>43130</v>
      </c>
      <c r="H17" s="51"/>
      <c r="I17" s="52"/>
      <c r="J17" s="51"/>
      <c r="K17" s="51"/>
      <c r="L17" s="9"/>
      <c r="M17" s="10" t="str">
        <f t="shared" si="0"/>
        <v>Jan-18</v>
      </c>
      <c r="N17" s="10" t="str">
        <f t="shared" si="1"/>
        <v>Jan-00</v>
      </c>
      <c r="O17" s="16" t="s">
        <v>90</v>
      </c>
      <c r="P17" s="18" t="s">
        <v>54</v>
      </c>
      <c r="Q17" s="45">
        <v>857.61</v>
      </c>
      <c r="R17" s="45"/>
      <c r="S17" s="18">
        <f t="shared" si="2"/>
        <v>857.61</v>
      </c>
      <c r="T17" s="19">
        <f t="shared" si="3"/>
        <v>943.37100000000009</v>
      </c>
      <c r="U17" s="20"/>
      <c r="V17" s="20"/>
      <c r="W17" s="21">
        <f t="shared" si="4"/>
        <v>0</v>
      </c>
      <c r="X17" s="22">
        <f t="shared" si="5"/>
        <v>857.61</v>
      </c>
      <c r="Y17" s="35">
        <f t="shared" si="6"/>
        <v>1</v>
      </c>
      <c r="Z17" s="20"/>
      <c r="AA17" s="11">
        <f t="shared" si="7"/>
        <v>43144</v>
      </c>
      <c r="AB17" s="20"/>
      <c r="AC17" s="24" t="s">
        <v>77</v>
      </c>
      <c r="AD17" s="10" t="s">
        <v>47</v>
      </c>
      <c r="AE17" s="10">
        <v>43151</v>
      </c>
      <c r="AF17" s="48"/>
      <c r="AG17" s="10">
        <v>43181</v>
      </c>
      <c r="AH17" s="25">
        <f t="shared" si="8"/>
        <v>30</v>
      </c>
      <c r="AK17" s="27"/>
    </row>
    <row r="18" spans="1:40" s="26" customFormat="1" ht="14.25" customHeight="1" x14ac:dyDescent="0.45">
      <c r="A18" s="28" t="s">
        <v>41</v>
      </c>
      <c r="B18" s="28" t="s">
        <v>42</v>
      </c>
      <c r="C18" s="28" t="s">
        <v>43</v>
      </c>
      <c r="D18" s="9"/>
      <c r="E18" s="9"/>
      <c r="F18" s="10"/>
      <c r="G18" s="10">
        <v>43585</v>
      </c>
      <c r="H18" s="51"/>
      <c r="I18" s="52"/>
      <c r="J18" s="51"/>
      <c r="K18" s="51"/>
      <c r="L18" s="9"/>
      <c r="M18" s="10" t="str">
        <f t="shared" si="0"/>
        <v>Apr-19</v>
      </c>
      <c r="N18" s="10" t="str">
        <f t="shared" si="1"/>
        <v>Jan-00</v>
      </c>
      <c r="O18" s="16" t="s">
        <v>91</v>
      </c>
      <c r="P18" s="18" t="s">
        <v>72</v>
      </c>
      <c r="Q18" s="45">
        <v>592.62</v>
      </c>
      <c r="R18" s="45"/>
      <c r="S18" s="18">
        <f t="shared" si="2"/>
        <v>592.62</v>
      </c>
      <c r="T18" s="19">
        <f t="shared" si="3"/>
        <v>651.88200000000006</v>
      </c>
      <c r="U18" s="20"/>
      <c r="V18" s="20"/>
      <c r="W18" s="21">
        <f t="shared" si="4"/>
        <v>0</v>
      </c>
      <c r="X18" s="22">
        <f t="shared" si="5"/>
        <v>592.62</v>
      </c>
      <c r="Y18" s="35">
        <f t="shared" si="6"/>
        <v>1</v>
      </c>
      <c r="Z18" s="20"/>
      <c r="AA18" s="11">
        <f t="shared" si="7"/>
        <v>43599</v>
      </c>
      <c r="AB18" s="20"/>
      <c r="AC18" s="24" t="s">
        <v>77</v>
      </c>
      <c r="AD18" s="10" t="s">
        <v>47</v>
      </c>
      <c r="AE18" s="10">
        <v>43151</v>
      </c>
      <c r="AF18" s="48"/>
      <c r="AG18" s="10">
        <v>43181</v>
      </c>
      <c r="AH18" s="25">
        <f t="shared" si="8"/>
        <v>30</v>
      </c>
      <c r="AK18" s="27"/>
      <c r="AN18" s="26" t="s">
        <v>92</v>
      </c>
    </row>
    <row r="19" spans="1:40" s="26" customFormat="1" ht="14.25" customHeight="1" x14ac:dyDescent="0.45">
      <c r="A19" s="28" t="s">
        <v>41</v>
      </c>
      <c r="B19" s="8" t="s">
        <v>35</v>
      </c>
      <c r="C19" s="8" t="s">
        <v>36</v>
      </c>
      <c r="D19" s="9" t="s">
        <v>93</v>
      </c>
      <c r="E19" s="9">
        <v>43307</v>
      </c>
      <c r="F19" s="10">
        <v>43273</v>
      </c>
      <c r="G19" s="10">
        <v>43273</v>
      </c>
      <c r="H19" s="15">
        <v>43277</v>
      </c>
      <c r="I19" s="49">
        <v>43299</v>
      </c>
      <c r="J19" s="14">
        <f>G19+14</f>
        <v>43287</v>
      </c>
      <c r="K19" s="15">
        <v>43307</v>
      </c>
      <c r="L19" s="9"/>
      <c r="M19" s="10" t="str">
        <f t="shared" si="0"/>
        <v>Jun-18</v>
      </c>
      <c r="N19" s="10" t="str">
        <f t="shared" si="1"/>
        <v>Jul-18</v>
      </c>
      <c r="O19" s="16" t="s">
        <v>94</v>
      </c>
      <c r="P19" s="18" t="s">
        <v>95</v>
      </c>
      <c r="Q19" s="45">
        <v>5741.5</v>
      </c>
      <c r="R19" s="45">
        <v>5141.04</v>
      </c>
      <c r="S19" s="18">
        <f t="shared" si="2"/>
        <v>10882.54</v>
      </c>
      <c r="T19" s="19">
        <f t="shared" si="3"/>
        <v>11970.794000000002</v>
      </c>
      <c r="U19" s="20">
        <v>3623.46</v>
      </c>
      <c r="V19" s="20"/>
      <c r="W19" s="21">
        <f t="shared" si="4"/>
        <v>3623.46</v>
      </c>
      <c r="X19" s="22">
        <f t="shared" si="5"/>
        <v>7259.0800000000008</v>
      </c>
      <c r="Y19" s="35">
        <f t="shared" si="6"/>
        <v>0.66703912873281423</v>
      </c>
      <c r="Z19" s="20"/>
      <c r="AA19" s="11">
        <f t="shared" si="7"/>
        <v>43287</v>
      </c>
      <c r="AB19" s="20"/>
      <c r="AC19" s="24" t="s">
        <v>61</v>
      </c>
      <c r="AD19" s="10" t="s">
        <v>47</v>
      </c>
      <c r="AE19" s="10">
        <v>43151</v>
      </c>
      <c r="AF19" s="48"/>
      <c r="AG19" s="10">
        <v>43181</v>
      </c>
      <c r="AH19" s="25">
        <f t="shared" si="8"/>
        <v>30</v>
      </c>
      <c r="AK19" s="27"/>
    </row>
    <row r="20" spans="1:40" s="26" customFormat="1" ht="14.25" customHeight="1" x14ac:dyDescent="0.45">
      <c r="A20" s="28" t="s">
        <v>41</v>
      </c>
      <c r="B20" s="8" t="s">
        <v>35</v>
      </c>
      <c r="C20" s="8" t="s">
        <v>36</v>
      </c>
      <c r="D20" s="9" t="s">
        <v>96</v>
      </c>
      <c r="E20" s="9">
        <v>43308</v>
      </c>
      <c r="F20" s="10">
        <v>43273</v>
      </c>
      <c r="G20" s="10">
        <v>43273</v>
      </c>
      <c r="H20" s="15">
        <v>43273</v>
      </c>
      <c r="I20" s="49">
        <v>43299</v>
      </c>
      <c r="J20" s="14">
        <f>G20+14</f>
        <v>43287</v>
      </c>
      <c r="K20" s="14">
        <v>43312</v>
      </c>
      <c r="L20" s="9"/>
      <c r="M20" s="10" t="str">
        <f t="shared" si="0"/>
        <v>Jun-18</v>
      </c>
      <c r="N20" s="10" t="str">
        <f t="shared" si="1"/>
        <v>Jul-18</v>
      </c>
      <c r="O20" s="16" t="s">
        <v>97</v>
      </c>
      <c r="P20" s="18" t="s">
        <v>98</v>
      </c>
      <c r="Q20" s="45">
        <v>1825.19</v>
      </c>
      <c r="R20" s="45">
        <v>11374.176475000002</v>
      </c>
      <c r="S20" s="18">
        <f t="shared" si="2"/>
        <v>13199.366475000003</v>
      </c>
      <c r="T20" s="19">
        <f t="shared" si="3"/>
        <v>14519.303122500003</v>
      </c>
      <c r="U20" s="20">
        <v>7231.46</v>
      </c>
      <c r="V20" s="20">
        <v>903.19549999999992</v>
      </c>
      <c r="W20" s="21">
        <f t="shared" si="4"/>
        <v>8134.6554999999998</v>
      </c>
      <c r="X20" s="46">
        <f t="shared" si="5"/>
        <v>5064.7109750000027</v>
      </c>
      <c r="Y20" s="35">
        <f t="shared" si="6"/>
        <v>0.38370864121340353</v>
      </c>
      <c r="Z20" s="20"/>
      <c r="AA20" s="11">
        <f t="shared" si="7"/>
        <v>43287</v>
      </c>
      <c r="AB20" s="20"/>
      <c r="AC20" s="61" t="s">
        <v>77</v>
      </c>
      <c r="AD20" s="10" t="s">
        <v>47</v>
      </c>
      <c r="AE20" s="10">
        <v>43153</v>
      </c>
      <c r="AF20" s="48"/>
      <c r="AG20" s="10">
        <v>43181</v>
      </c>
      <c r="AH20" s="25">
        <f t="shared" si="8"/>
        <v>28</v>
      </c>
      <c r="AK20" s="27"/>
    </row>
    <row r="21" spans="1:40" s="26" customFormat="1" ht="14.25" customHeight="1" x14ac:dyDescent="0.45">
      <c r="A21" s="8" t="s">
        <v>99</v>
      </c>
      <c r="B21" s="8" t="s">
        <v>100</v>
      </c>
      <c r="C21" s="8" t="s">
        <v>36</v>
      </c>
      <c r="D21" s="9" t="s">
        <v>101</v>
      </c>
      <c r="E21" s="9">
        <v>43287</v>
      </c>
      <c r="F21" s="10">
        <v>43265</v>
      </c>
      <c r="G21" s="10">
        <v>43266</v>
      </c>
      <c r="H21" s="14">
        <v>43266</v>
      </c>
      <c r="I21" s="54">
        <v>43278</v>
      </c>
      <c r="J21" s="62">
        <v>43283</v>
      </c>
      <c r="K21" s="14">
        <v>43286</v>
      </c>
      <c r="L21" s="9"/>
      <c r="M21" s="10" t="str">
        <f t="shared" si="0"/>
        <v>Jun-18</v>
      </c>
      <c r="N21" s="10" t="str">
        <f t="shared" si="1"/>
        <v>Jul-18</v>
      </c>
      <c r="O21" s="50" t="s">
        <v>102</v>
      </c>
      <c r="P21" s="50" t="s">
        <v>103</v>
      </c>
      <c r="Q21" s="45">
        <v>1919</v>
      </c>
      <c r="R21" s="45">
        <v>5178.72</v>
      </c>
      <c r="S21" s="18">
        <f t="shared" si="2"/>
        <v>7097.72</v>
      </c>
      <c r="T21" s="19">
        <f t="shared" si="3"/>
        <v>7807.4920000000011</v>
      </c>
      <c r="U21" s="20">
        <v>1120</v>
      </c>
      <c r="V21" s="20">
        <v>2043.8035299999997</v>
      </c>
      <c r="W21" s="21">
        <f t="shared" si="4"/>
        <v>3163.8035299999997</v>
      </c>
      <c r="X21" s="22">
        <f t="shared" si="5"/>
        <v>3933.9164700000006</v>
      </c>
      <c r="Y21" s="35">
        <f t="shared" si="6"/>
        <v>0.55425072699402067</v>
      </c>
      <c r="Z21" s="20"/>
      <c r="AA21" s="11">
        <f t="shared" si="7"/>
        <v>43280</v>
      </c>
      <c r="AB21" s="20"/>
      <c r="AC21" s="24" t="s">
        <v>55</v>
      </c>
      <c r="AD21" s="10">
        <v>43079</v>
      </c>
      <c r="AE21" s="10">
        <v>43154</v>
      </c>
      <c r="AF21" s="63">
        <f>AE21-AD21</f>
        <v>75</v>
      </c>
      <c r="AG21" s="10">
        <v>43147</v>
      </c>
      <c r="AH21" s="25">
        <f t="shared" si="8"/>
        <v>-7</v>
      </c>
      <c r="AK21" s="27"/>
    </row>
    <row r="22" spans="1:40" s="26" customFormat="1" ht="14.25" customHeight="1" x14ac:dyDescent="0.45">
      <c r="A22" s="28" t="s">
        <v>41</v>
      </c>
      <c r="B22" s="28" t="s">
        <v>42</v>
      </c>
      <c r="C22" s="28" t="s">
        <v>43</v>
      </c>
      <c r="D22" s="9"/>
      <c r="E22" s="9"/>
      <c r="F22" s="10"/>
      <c r="G22" s="10">
        <v>43554</v>
      </c>
      <c r="H22" s="51"/>
      <c r="I22" s="52"/>
      <c r="J22" s="51"/>
      <c r="K22" s="51"/>
      <c r="L22" s="9"/>
      <c r="M22" s="10" t="str">
        <f t="shared" si="0"/>
        <v>Mar-19</v>
      </c>
      <c r="N22" s="10" t="str">
        <f t="shared" si="1"/>
        <v>Jan-00</v>
      </c>
      <c r="O22" s="16" t="s">
        <v>104</v>
      </c>
      <c r="P22" s="18" t="s">
        <v>105</v>
      </c>
      <c r="Q22" s="45">
        <v>515.58000000000004</v>
      </c>
      <c r="R22" s="45"/>
      <c r="S22" s="18">
        <f t="shared" si="2"/>
        <v>515.58000000000004</v>
      </c>
      <c r="T22" s="19">
        <f t="shared" si="3"/>
        <v>567.13800000000015</v>
      </c>
      <c r="U22" s="20"/>
      <c r="V22" s="20"/>
      <c r="W22" s="21">
        <f t="shared" si="4"/>
        <v>0</v>
      </c>
      <c r="X22" s="22">
        <f t="shared" si="5"/>
        <v>515.58000000000004</v>
      </c>
      <c r="Y22" s="35">
        <f t="shared" si="6"/>
        <v>1</v>
      </c>
      <c r="Z22" s="20"/>
      <c r="AA22" s="11">
        <f t="shared" si="7"/>
        <v>43568</v>
      </c>
      <c r="AB22" s="20"/>
      <c r="AC22" s="24" t="s">
        <v>73</v>
      </c>
      <c r="AD22" s="10" t="s">
        <v>47</v>
      </c>
      <c r="AE22" s="10">
        <v>43154</v>
      </c>
      <c r="AF22" s="48"/>
      <c r="AG22" s="10">
        <v>43181</v>
      </c>
      <c r="AH22" s="25">
        <f t="shared" si="8"/>
        <v>27</v>
      </c>
      <c r="AK22" s="27"/>
    </row>
    <row r="23" spans="1:40" s="26" customFormat="1" ht="14.25" customHeight="1" x14ac:dyDescent="0.45">
      <c r="A23" s="28" t="s">
        <v>41</v>
      </c>
      <c r="B23" s="8" t="s">
        <v>100</v>
      </c>
      <c r="C23" s="8" t="s">
        <v>36</v>
      </c>
      <c r="D23" s="9" t="s">
        <v>106</v>
      </c>
      <c r="E23" s="9">
        <v>43378</v>
      </c>
      <c r="F23" s="10">
        <v>43346</v>
      </c>
      <c r="G23" s="10">
        <v>43346</v>
      </c>
      <c r="H23" s="15">
        <v>43347</v>
      </c>
      <c r="I23" s="49">
        <v>43368</v>
      </c>
      <c r="J23" s="14">
        <f>G23+14</f>
        <v>43360</v>
      </c>
      <c r="K23" s="14">
        <f>I23+14</f>
        <v>43382</v>
      </c>
      <c r="L23" s="9"/>
      <c r="M23" s="10" t="str">
        <f t="shared" si="0"/>
        <v>Sep-18</v>
      </c>
      <c r="N23" s="10" t="str">
        <f t="shared" si="1"/>
        <v>Oct-18</v>
      </c>
      <c r="O23" s="16" t="s">
        <v>107</v>
      </c>
      <c r="P23" s="18" t="s">
        <v>108</v>
      </c>
      <c r="Q23" s="45">
        <v>1924.61</v>
      </c>
      <c r="R23" s="45">
        <f>14905.61</f>
        <v>14905.61</v>
      </c>
      <c r="S23" s="18">
        <f t="shared" si="2"/>
        <v>16830.22</v>
      </c>
      <c r="T23" s="64">
        <f t="shared" si="3"/>
        <v>18513.242000000002</v>
      </c>
      <c r="U23" s="65">
        <v>5425.54</v>
      </c>
      <c r="V23" s="65">
        <f>400*7</f>
        <v>2800</v>
      </c>
      <c r="W23" s="21">
        <f t="shared" si="4"/>
        <v>8225.5400000000009</v>
      </c>
      <c r="X23" s="46">
        <f t="shared" si="5"/>
        <v>8604.68</v>
      </c>
      <c r="Y23" s="35">
        <f t="shared" si="6"/>
        <v>0.51126366737927365</v>
      </c>
      <c r="Z23" s="20"/>
      <c r="AA23" s="11">
        <f t="shared" si="7"/>
        <v>43360</v>
      </c>
      <c r="AB23" s="20"/>
      <c r="AC23" s="24" t="s">
        <v>61</v>
      </c>
      <c r="AD23" s="10" t="s">
        <v>47</v>
      </c>
      <c r="AE23" s="10">
        <v>43157</v>
      </c>
      <c r="AF23" s="48"/>
      <c r="AG23" s="10">
        <v>43179</v>
      </c>
      <c r="AH23" s="25">
        <f t="shared" si="8"/>
        <v>22</v>
      </c>
      <c r="AK23" s="27"/>
    </row>
    <row r="24" spans="1:40" s="26" customFormat="1" ht="14.25" customHeight="1" x14ac:dyDescent="0.45">
      <c r="A24" s="28" t="s">
        <v>41</v>
      </c>
      <c r="B24" s="8" t="s">
        <v>35</v>
      </c>
      <c r="C24" s="8" t="s">
        <v>36</v>
      </c>
      <c r="D24" s="9" t="s">
        <v>109</v>
      </c>
      <c r="E24" s="9">
        <v>43271</v>
      </c>
      <c r="F24" s="10">
        <v>43248</v>
      </c>
      <c r="G24" s="11">
        <v>43249</v>
      </c>
      <c r="H24" s="14">
        <v>43251</v>
      </c>
      <c r="I24" s="54">
        <v>43256</v>
      </c>
      <c r="J24" s="14">
        <v>43259</v>
      </c>
      <c r="K24" s="14">
        <v>43270</v>
      </c>
      <c r="L24" s="9"/>
      <c r="M24" s="10" t="str">
        <f t="shared" si="0"/>
        <v>May-18</v>
      </c>
      <c r="N24" s="10" t="str">
        <f t="shared" si="1"/>
        <v>Jun-18</v>
      </c>
      <c r="O24" s="16" t="s">
        <v>110</v>
      </c>
      <c r="P24" s="18" t="s">
        <v>111</v>
      </c>
      <c r="Q24" s="45">
        <v>1021.38</v>
      </c>
      <c r="R24" s="45">
        <v>3224.76</v>
      </c>
      <c r="S24" s="18">
        <f t="shared" si="2"/>
        <v>4246.1400000000003</v>
      </c>
      <c r="T24" s="64">
        <f t="shared" si="3"/>
        <v>4670.7540000000008</v>
      </c>
      <c r="U24" s="65">
        <v>2111.52</v>
      </c>
      <c r="V24" s="66"/>
      <c r="W24" s="21">
        <f t="shared" si="4"/>
        <v>2111.52</v>
      </c>
      <c r="X24" s="22">
        <f t="shared" si="5"/>
        <v>2134.6200000000003</v>
      </c>
      <c r="Y24" s="35">
        <f t="shared" si="6"/>
        <v>0.50272011756560075</v>
      </c>
      <c r="Z24" s="20"/>
      <c r="AA24" s="11">
        <f t="shared" si="7"/>
        <v>43263</v>
      </c>
      <c r="AB24" s="20"/>
      <c r="AC24" s="24" t="s">
        <v>73</v>
      </c>
      <c r="AD24" s="10" t="s">
        <v>47</v>
      </c>
      <c r="AE24" s="10">
        <v>43161</v>
      </c>
      <c r="AF24" s="48"/>
      <c r="AG24" s="10">
        <v>43196</v>
      </c>
      <c r="AH24" s="25">
        <f t="shared" si="8"/>
        <v>35</v>
      </c>
      <c r="AK24" s="27"/>
    </row>
    <row r="25" spans="1:40" s="26" customFormat="1" ht="14.25" customHeight="1" x14ac:dyDescent="0.45">
      <c r="A25" s="8" t="s">
        <v>99</v>
      </c>
      <c r="B25" s="28" t="s">
        <v>42</v>
      </c>
      <c r="C25" s="28" t="s">
        <v>43</v>
      </c>
      <c r="D25" s="9"/>
      <c r="E25" s="9"/>
      <c r="F25" s="10"/>
      <c r="G25" s="10">
        <v>43524</v>
      </c>
      <c r="H25" s="51"/>
      <c r="I25" s="52"/>
      <c r="J25" s="51"/>
      <c r="K25" s="51"/>
      <c r="L25" s="9"/>
      <c r="M25" s="10" t="str">
        <f t="shared" si="0"/>
        <v>Feb-19</v>
      </c>
      <c r="N25" s="10" t="str">
        <f t="shared" si="1"/>
        <v>Jan-00</v>
      </c>
      <c r="O25" s="16" t="s">
        <v>112</v>
      </c>
      <c r="P25" s="18" t="s">
        <v>113</v>
      </c>
      <c r="Q25" s="45">
        <v>30428.35</v>
      </c>
      <c r="R25" s="45"/>
      <c r="S25" s="18">
        <f t="shared" si="2"/>
        <v>30428.35</v>
      </c>
      <c r="T25" s="64">
        <f t="shared" si="3"/>
        <v>33471.184999999998</v>
      </c>
      <c r="U25" s="65">
        <f>8804.68+600</f>
        <v>9404.68</v>
      </c>
      <c r="V25" s="65"/>
      <c r="W25" s="21">
        <f t="shared" si="4"/>
        <v>9404.68</v>
      </c>
      <c r="X25" s="22">
        <f t="shared" si="5"/>
        <v>21023.67</v>
      </c>
      <c r="Y25" s="35">
        <f t="shared" si="6"/>
        <v>0.69092376024332569</v>
      </c>
      <c r="Z25" s="20"/>
      <c r="AA25" s="11">
        <f t="shared" si="7"/>
        <v>43538</v>
      </c>
      <c r="AB25" s="20"/>
      <c r="AC25" s="24" t="s">
        <v>114</v>
      </c>
      <c r="AD25" s="10">
        <v>43066</v>
      </c>
      <c r="AE25" s="10">
        <v>43187</v>
      </c>
      <c r="AF25" s="48"/>
      <c r="AG25" s="10">
        <v>43220</v>
      </c>
      <c r="AH25" s="25">
        <f t="shared" si="8"/>
        <v>33</v>
      </c>
      <c r="AK25" s="27"/>
    </row>
    <row r="26" spans="1:40" s="26" customFormat="1" ht="14.25" customHeight="1" x14ac:dyDescent="0.45">
      <c r="A26" s="28" t="s">
        <v>115</v>
      </c>
      <c r="B26" s="8" t="s">
        <v>116</v>
      </c>
      <c r="C26" s="8" t="s">
        <v>117</v>
      </c>
      <c r="D26" s="9" t="s">
        <v>118</v>
      </c>
      <c r="E26" s="9">
        <v>43167</v>
      </c>
      <c r="F26" s="10">
        <v>43167</v>
      </c>
      <c r="G26" s="10">
        <v>43167</v>
      </c>
      <c r="H26" s="67"/>
      <c r="I26" s="68"/>
      <c r="J26" s="67"/>
      <c r="K26" s="14">
        <v>43237</v>
      </c>
      <c r="L26" s="9"/>
      <c r="M26" s="10" t="str">
        <f t="shared" si="0"/>
        <v>Mar-18</v>
      </c>
      <c r="N26" s="10" t="str">
        <f t="shared" si="1"/>
        <v>May-18</v>
      </c>
      <c r="O26" s="16" t="s">
        <v>119</v>
      </c>
      <c r="P26" s="18" t="s">
        <v>120</v>
      </c>
      <c r="Q26" s="45">
        <v>1153.2599999999998</v>
      </c>
      <c r="R26" s="69"/>
      <c r="S26" s="18">
        <f t="shared" si="2"/>
        <v>1153.2599999999998</v>
      </c>
      <c r="T26" s="64">
        <f t="shared" si="3"/>
        <v>1268.5859999999998</v>
      </c>
      <c r="U26" s="65"/>
      <c r="V26" s="65">
        <f>50*9</f>
        <v>450</v>
      </c>
      <c r="W26" s="21">
        <f t="shared" si="4"/>
        <v>450</v>
      </c>
      <c r="X26" s="22">
        <f t="shared" si="5"/>
        <v>703.25999999999976</v>
      </c>
      <c r="Y26" s="35">
        <f t="shared" si="6"/>
        <v>0.60980177930388635</v>
      </c>
      <c r="Z26" s="20"/>
      <c r="AA26" s="11" t="e">
        <f>#REF!+14</f>
        <v>#REF!</v>
      </c>
      <c r="AB26" s="20"/>
      <c r="AC26" s="24" t="s">
        <v>121</v>
      </c>
      <c r="AD26" s="70"/>
      <c r="AE26" s="70"/>
      <c r="AF26" s="71"/>
      <c r="AG26" s="70"/>
      <c r="AH26" s="72"/>
      <c r="AK26" s="27"/>
    </row>
    <row r="27" spans="1:40" s="26" customFormat="1" ht="14.25" customHeight="1" x14ac:dyDescent="0.45">
      <c r="A27" s="28" t="s">
        <v>41</v>
      </c>
      <c r="B27" s="8" t="s">
        <v>35</v>
      </c>
      <c r="C27" s="8" t="s">
        <v>36</v>
      </c>
      <c r="D27" s="9" t="s">
        <v>122</v>
      </c>
      <c r="E27" s="9">
        <v>43248</v>
      </c>
      <c r="F27" s="10">
        <v>43229</v>
      </c>
      <c r="G27" s="10">
        <v>43229</v>
      </c>
      <c r="H27" s="51">
        <v>43235</v>
      </c>
      <c r="I27" s="52">
        <v>43222</v>
      </c>
      <c r="J27" s="14">
        <v>43243</v>
      </c>
      <c r="K27" s="15">
        <v>43263</v>
      </c>
      <c r="L27" s="9"/>
      <c r="M27" s="10" t="str">
        <f t="shared" si="0"/>
        <v>May-18</v>
      </c>
      <c r="N27" s="10" t="str">
        <f t="shared" si="1"/>
        <v>Jun-18</v>
      </c>
      <c r="O27" s="16" t="s">
        <v>123</v>
      </c>
      <c r="P27" s="18" t="s">
        <v>124</v>
      </c>
      <c r="Q27" s="45">
        <v>704.71</v>
      </c>
      <c r="R27" s="45">
        <v>4996.3599999999997</v>
      </c>
      <c r="S27" s="18">
        <f t="shared" si="2"/>
        <v>5701.07</v>
      </c>
      <c r="T27" s="64">
        <f t="shared" si="3"/>
        <v>6271.1770000000006</v>
      </c>
      <c r="U27" s="65">
        <v>1885.45</v>
      </c>
      <c r="V27" s="65"/>
      <c r="W27" s="21">
        <f t="shared" si="4"/>
        <v>1885.45</v>
      </c>
      <c r="X27" s="46">
        <f t="shared" si="5"/>
        <v>3815.62</v>
      </c>
      <c r="Y27" s="35">
        <f t="shared" si="6"/>
        <v>0.66928138051278097</v>
      </c>
      <c r="Z27" s="20"/>
      <c r="AA27" s="11">
        <f t="shared" ref="AA27:AA48" si="9">G27+14</f>
        <v>43243</v>
      </c>
      <c r="AB27" s="20"/>
      <c r="AC27" s="24" t="s">
        <v>73</v>
      </c>
      <c r="AD27" s="10" t="s">
        <v>47</v>
      </c>
      <c r="AE27" s="10">
        <v>43166</v>
      </c>
      <c r="AF27" s="48"/>
      <c r="AG27" s="10">
        <v>43179</v>
      </c>
      <c r="AH27" s="25">
        <f t="shared" ref="AH27:AH47" si="10">AG27-AE27</f>
        <v>13</v>
      </c>
      <c r="AK27" s="27"/>
    </row>
    <row r="28" spans="1:40" s="26" customFormat="1" ht="14.25" customHeight="1" x14ac:dyDescent="0.45">
      <c r="A28" s="8" t="s">
        <v>34</v>
      </c>
      <c r="B28" s="8" t="s">
        <v>65</v>
      </c>
      <c r="C28" s="8" t="s">
        <v>36</v>
      </c>
      <c r="D28" s="9" t="s">
        <v>125</v>
      </c>
      <c r="E28" s="9">
        <v>43265</v>
      </c>
      <c r="F28" s="10">
        <v>43255</v>
      </c>
      <c r="G28" s="10">
        <v>43255</v>
      </c>
      <c r="H28" s="67"/>
      <c r="I28" s="68"/>
      <c r="J28" s="14">
        <v>43266</v>
      </c>
      <c r="K28" s="14">
        <v>43273</v>
      </c>
      <c r="L28" s="9"/>
      <c r="M28" s="10" t="str">
        <f t="shared" si="0"/>
        <v>Jun-18</v>
      </c>
      <c r="N28" s="10" t="str">
        <f t="shared" si="1"/>
        <v>Jun-18</v>
      </c>
      <c r="O28" s="16" t="s">
        <v>126</v>
      </c>
      <c r="P28" s="18" t="s">
        <v>127</v>
      </c>
      <c r="Q28" s="45">
        <v>8506.73</v>
      </c>
      <c r="R28" s="73"/>
      <c r="S28" s="18">
        <f t="shared" si="2"/>
        <v>8506.73</v>
      </c>
      <c r="T28" s="64">
        <f t="shared" si="3"/>
        <v>9357.4030000000002</v>
      </c>
      <c r="U28" s="65"/>
      <c r="V28" s="65"/>
      <c r="W28" s="21">
        <f t="shared" si="4"/>
        <v>0</v>
      </c>
      <c r="X28" s="22">
        <f t="shared" si="5"/>
        <v>8506.73</v>
      </c>
      <c r="Y28" s="35">
        <f t="shared" si="6"/>
        <v>1</v>
      </c>
      <c r="Z28" s="20"/>
      <c r="AA28" s="11">
        <f t="shared" si="9"/>
        <v>43269</v>
      </c>
      <c r="AB28" s="20"/>
      <c r="AC28" s="74" t="s">
        <v>128</v>
      </c>
      <c r="AD28" s="10">
        <v>43164</v>
      </c>
      <c r="AE28" s="10">
        <v>43175</v>
      </c>
      <c r="AF28" s="48"/>
      <c r="AG28" s="10">
        <v>43191</v>
      </c>
      <c r="AH28" s="25">
        <f t="shared" si="10"/>
        <v>16</v>
      </c>
      <c r="AK28" s="27"/>
    </row>
    <row r="29" spans="1:40" s="26" customFormat="1" ht="14.25" customHeight="1" x14ac:dyDescent="0.45">
      <c r="A29" s="8" t="s">
        <v>34</v>
      </c>
      <c r="B29" s="8" t="s">
        <v>129</v>
      </c>
      <c r="C29" s="8" t="s">
        <v>36</v>
      </c>
      <c r="D29" s="9" t="s">
        <v>130</v>
      </c>
      <c r="E29" s="9">
        <v>43280</v>
      </c>
      <c r="F29" s="10">
        <v>43256</v>
      </c>
      <c r="G29" s="10">
        <v>43256</v>
      </c>
      <c r="H29" s="75"/>
      <c r="I29" s="76"/>
      <c r="J29" s="77">
        <v>43271</v>
      </c>
      <c r="K29" s="14">
        <v>43277</v>
      </c>
      <c r="L29" s="9"/>
      <c r="M29" s="10" t="str">
        <f t="shared" si="0"/>
        <v>Jun-18</v>
      </c>
      <c r="N29" s="10" t="str">
        <f t="shared" si="1"/>
        <v>Jun-18</v>
      </c>
      <c r="O29" s="16" t="s">
        <v>131</v>
      </c>
      <c r="P29" s="18" t="s">
        <v>132</v>
      </c>
      <c r="Q29" s="45">
        <v>2191.88</v>
      </c>
      <c r="R29" s="73"/>
      <c r="S29" s="18">
        <f t="shared" si="2"/>
        <v>2191.88</v>
      </c>
      <c r="T29" s="64">
        <f t="shared" si="3"/>
        <v>2411.0680000000002</v>
      </c>
      <c r="U29" s="65"/>
      <c r="V29" s="65"/>
      <c r="W29" s="21">
        <f t="shared" si="4"/>
        <v>0</v>
      </c>
      <c r="X29" s="22">
        <f t="shared" si="5"/>
        <v>2191.88</v>
      </c>
      <c r="Y29" s="35">
        <f t="shared" si="6"/>
        <v>1</v>
      </c>
      <c r="Z29" s="20"/>
      <c r="AA29" s="11">
        <f t="shared" si="9"/>
        <v>43270</v>
      </c>
      <c r="AB29" s="20"/>
      <c r="AC29" s="74" t="s">
        <v>128</v>
      </c>
      <c r="AD29" s="10">
        <v>43164</v>
      </c>
      <c r="AE29" s="10">
        <v>43175</v>
      </c>
      <c r="AF29" s="48"/>
      <c r="AG29" s="10">
        <v>43191</v>
      </c>
      <c r="AH29" s="25">
        <f t="shared" si="10"/>
        <v>16</v>
      </c>
      <c r="AK29" s="27"/>
    </row>
    <row r="30" spans="1:40" s="26" customFormat="1" ht="14.25" customHeight="1" x14ac:dyDescent="0.45">
      <c r="A30" s="28" t="s">
        <v>41</v>
      </c>
      <c r="B30" s="28" t="s">
        <v>42</v>
      </c>
      <c r="C30" s="28" t="s">
        <v>43</v>
      </c>
      <c r="D30" s="9"/>
      <c r="E30" s="9"/>
      <c r="F30" s="10">
        <v>43517</v>
      </c>
      <c r="G30" s="10">
        <v>43517</v>
      </c>
      <c r="H30" s="51">
        <v>43517</v>
      </c>
      <c r="I30" s="52"/>
      <c r="J30" s="14">
        <f>G30+14</f>
        <v>43531</v>
      </c>
      <c r="K30" s="51">
        <f>J30+14</f>
        <v>43545</v>
      </c>
      <c r="L30" s="9"/>
      <c r="M30" s="10" t="str">
        <f t="shared" si="0"/>
        <v>Feb-19</v>
      </c>
      <c r="N30" s="10" t="str">
        <f t="shared" si="1"/>
        <v>Mar-19</v>
      </c>
      <c r="O30" s="16" t="s">
        <v>133</v>
      </c>
      <c r="P30" s="18" t="s">
        <v>76</v>
      </c>
      <c r="Q30" s="45">
        <v>279.01</v>
      </c>
      <c r="R30" s="32">
        <v>4023.2</v>
      </c>
      <c r="S30" s="18">
        <f t="shared" si="2"/>
        <v>4302.21</v>
      </c>
      <c r="T30" s="64">
        <f t="shared" si="3"/>
        <v>4732.4310000000005</v>
      </c>
      <c r="U30" s="65">
        <v>2486.77</v>
      </c>
      <c r="V30" s="65"/>
      <c r="W30" s="21">
        <f t="shared" si="4"/>
        <v>2486.77</v>
      </c>
      <c r="X30" s="46">
        <f t="shared" si="5"/>
        <v>1815.44</v>
      </c>
      <c r="Y30" s="35">
        <f t="shared" si="6"/>
        <v>0.42197847152974866</v>
      </c>
      <c r="Z30" s="20"/>
      <c r="AA30" s="11">
        <f t="shared" si="9"/>
        <v>43531</v>
      </c>
      <c r="AB30" s="20"/>
      <c r="AC30" s="24" t="s">
        <v>61</v>
      </c>
      <c r="AD30" s="10" t="s">
        <v>47</v>
      </c>
      <c r="AE30" s="10">
        <v>43159</v>
      </c>
      <c r="AF30" s="48"/>
      <c r="AG30" s="10">
        <v>43196</v>
      </c>
      <c r="AH30" s="25">
        <f t="shared" si="10"/>
        <v>37</v>
      </c>
      <c r="AK30" s="27"/>
    </row>
    <row r="31" spans="1:40" s="26" customFormat="1" ht="14.25" customHeight="1" x14ac:dyDescent="0.45">
      <c r="A31" s="28" t="s">
        <v>41</v>
      </c>
      <c r="B31" s="8" t="s">
        <v>35</v>
      </c>
      <c r="C31" s="8" t="s">
        <v>36</v>
      </c>
      <c r="D31" s="9" t="s">
        <v>134</v>
      </c>
      <c r="E31" s="9">
        <v>43307</v>
      </c>
      <c r="F31" s="10">
        <v>43276</v>
      </c>
      <c r="G31" s="10">
        <v>43276</v>
      </c>
      <c r="H31" s="67"/>
      <c r="I31" s="68"/>
      <c r="J31" s="14">
        <f>G31+14</f>
        <v>43290</v>
      </c>
      <c r="K31" s="14">
        <v>43293</v>
      </c>
      <c r="L31" s="9"/>
      <c r="M31" s="10" t="str">
        <f t="shared" si="0"/>
        <v>Jun-18</v>
      </c>
      <c r="N31" s="10" t="str">
        <f t="shared" si="1"/>
        <v>Jul-18</v>
      </c>
      <c r="O31" s="16" t="s">
        <v>135</v>
      </c>
      <c r="P31" s="18" t="s">
        <v>95</v>
      </c>
      <c r="Q31" s="45">
        <v>840</v>
      </c>
      <c r="R31" s="73"/>
      <c r="S31" s="18">
        <f t="shared" si="2"/>
        <v>840</v>
      </c>
      <c r="T31" s="64">
        <f t="shared" si="3"/>
        <v>924.00000000000011</v>
      </c>
      <c r="U31" s="65"/>
      <c r="V31" s="65"/>
      <c r="W31" s="21">
        <f t="shared" si="4"/>
        <v>0</v>
      </c>
      <c r="X31" s="22">
        <f t="shared" si="5"/>
        <v>840</v>
      </c>
      <c r="Y31" s="35">
        <f t="shared" si="6"/>
        <v>1</v>
      </c>
      <c r="Z31" s="20"/>
      <c r="AA31" s="11">
        <f t="shared" si="9"/>
        <v>43290</v>
      </c>
      <c r="AB31" s="20"/>
      <c r="AC31" s="24" t="s">
        <v>61</v>
      </c>
      <c r="AD31" s="10" t="s">
        <v>47</v>
      </c>
      <c r="AE31" s="10">
        <v>43165</v>
      </c>
      <c r="AF31" s="48"/>
      <c r="AG31" s="10">
        <v>43187</v>
      </c>
      <c r="AH31" s="25">
        <f t="shared" si="10"/>
        <v>22</v>
      </c>
      <c r="AK31" s="27"/>
    </row>
    <row r="32" spans="1:40" s="26" customFormat="1" ht="14.25" customHeight="1" x14ac:dyDescent="0.45">
      <c r="A32" s="28" t="s">
        <v>41</v>
      </c>
      <c r="B32" s="28" t="s">
        <v>42</v>
      </c>
      <c r="C32" s="28" t="s">
        <v>43</v>
      </c>
      <c r="D32" s="9"/>
      <c r="E32" s="9"/>
      <c r="F32" s="10">
        <v>43517</v>
      </c>
      <c r="G32" s="10">
        <v>43517</v>
      </c>
      <c r="H32" s="67"/>
      <c r="I32" s="68"/>
      <c r="J32" s="14">
        <v>43531</v>
      </c>
      <c r="K32" s="51">
        <v>43545</v>
      </c>
      <c r="L32" s="9"/>
      <c r="M32" s="10" t="str">
        <f t="shared" si="0"/>
        <v>Feb-19</v>
      </c>
      <c r="N32" s="10" t="str">
        <f t="shared" si="1"/>
        <v>Mar-19</v>
      </c>
      <c r="O32" s="16" t="s">
        <v>136</v>
      </c>
      <c r="P32" s="18" t="s">
        <v>76</v>
      </c>
      <c r="Q32" s="45">
        <v>560</v>
      </c>
      <c r="R32" s="73"/>
      <c r="S32" s="18">
        <f t="shared" si="2"/>
        <v>560</v>
      </c>
      <c r="T32" s="64">
        <f t="shared" si="3"/>
        <v>616</v>
      </c>
      <c r="U32" s="65"/>
      <c r="V32" s="65"/>
      <c r="W32" s="21">
        <f t="shared" si="4"/>
        <v>0</v>
      </c>
      <c r="X32" s="22">
        <f t="shared" si="5"/>
        <v>560</v>
      </c>
      <c r="Y32" s="35">
        <f t="shared" si="6"/>
        <v>1</v>
      </c>
      <c r="Z32" s="20"/>
      <c r="AA32" s="11">
        <f t="shared" si="9"/>
        <v>43531</v>
      </c>
      <c r="AB32" s="20"/>
      <c r="AC32" s="24" t="s">
        <v>61</v>
      </c>
      <c r="AD32" s="10" t="s">
        <v>47</v>
      </c>
      <c r="AE32" s="10">
        <v>43165</v>
      </c>
      <c r="AF32" s="48"/>
      <c r="AG32" s="10">
        <v>43193</v>
      </c>
      <c r="AH32" s="25">
        <f t="shared" si="10"/>
        <v>28</v>
      </c>
      <c r="AK32" s="27"/>
    </row>
    <row r="33" spans="1:37" s="26" customFormat="1" ht="14.25" customHeight="1" x14ac:dyDescent="0.45">
      <c r="A33" s="28" t="s">
        <v>41</v>
      </c>
      <c r="B33" s="8" t="s">
        <v>35</v>
      </c>
      <c r="C33" s="8" t="s">
        <v>43</v>
      </c>
      <c r="D33" s="9" t="s">
        <v>137</v>
      </c>
      <c r="E33" s="9">
        <v>43487</v>
      </c>
      <c r="F33" s="10">
        <v>43445</v>
      </c>
      <c r="G33" s="10">
        <v>43445</v>
      </c>
      <c r="H33" s="14">
        <v>43445</v>
      </c>
      <c r="I33" s="54">
        <v>43455</v>
      </c>
      <c r="J33" s="14">
        <f>G33+14</f>
        <v>43459</v>
      </c>
      <c r="K33" s="15">
        <v>43487</v>
      </c>
      <c r="L33" s="9"/>
      <c r="M33" s="10" t="str">
        <f t="shared" si="0"/>
        <v>Dec-18</v>
      </c>
      <c r="N33" s="10" t="str">
        <f t="shared" si="1"/>
        <v>Jan-19</v>
      </c>
      <c r="O33" s="16" t="s">
        <v>138</v>
      </c>
      <c r="P33" s="18" t="s">
        <v>139</v>
      </c>
      <c r="Q33" s="45">
        <v>1201.18</v>
      </c>
      <c r="R33" s="45">
        <v>5549.3200000000043</v>
      </c>
      <c r="S33" s="18">
        <f t="shared" si="2"/>
        <v>6750.5000000000045</v>
      </c>
      <c r="T33" s="64">
        <f t="shared" si="3"/>
        <v>7425.5500000000056</v>
      </c>
      <c r="U33" s="65">
        <v>3800.6400000000003</v>
      </c>
      <c r="V33" s="65"/>
      <c r="W33" s="21">
        <f t="shared" si="4"/>
        <v>3800.6400000000003</v>
      </c>
      <c r="X33" s="46">
        <f t="shared" si="5"/>
        <v>2949.8600000000042</v>
      </c>
      <c r="Y33" s="35">
        <f t="shared" si="6"/>
        <v>0.43698392711651024</v>
      </c>
      <c r="Z33" s="20"/>
      <c r="AA33" s="11">
        <f t="shared" si="9"/>
        <v>43459</v>
      </c>
      <c r="AB33" s="20"/>
      <c r="AC33" s="24" t="s">
        <v>73</v>
      </c>
      <c r="AD33" s="10" t="s">
        <v>47</v>
      </c>
      <c r="AE33" s="10">
        <v>43166</v>
      </c>
      <c r="AF33" s="48"/>
      <c r="AG33" s="10">
        <v>43195</v>
      </c>
      <c r="AH33" s="25">
        <f t="shared" si="10"/>
        <v>29</v>
      </c>
      <c r="AK33" s="27"/>
    </row>
    <row r="34" spans="1:37" s="26" customFormat="1" ht="14.25" customHeight="1" x14ac:dyDescent="0.45">
      <c r="A34" s="8" t="s">
        <v>41</v>
      </c>
      <c r="B34" s="8" t="s">
        <v>35</v>
      </c>
      <c r="C34" s="8" t="s">
        <v>36</v>
      </c>
      <c r="D34" s="9" t="s">
        <v>140</v>
      </c>
      <c r="E34" s="9">
        <v>43242</v>
      </c>
      <c r="F34" s="10">
        <v>43223</v>
      </c>
      <c r="G34" s="10">
        <v>43223</v>
      </c>
      <c r="H34" s="14">
        <v>43228</v>
      </c>
      <c r="I34" s="54">
        <v>43230</v>
      </c>
      <c r="J34" s="14">
        <v>43236</v>
      </c>
      <c r="K34" s="14">
        <v>43242</v>
      </c>
      <c r="L34" s="9"/>
      <c r="M34" s="10" t="str">
        <f t="shared" si="0"/>
        <v>May-18</v>
      </c>
      <c r="N34" s="10" t="str">
        <f t="shared" si="1"/>
        <v>May-18</v>
      </c>
      <c r="O34" s="16" t="s">
        <v>141</v>
      </c>
      <c r="P34" s="18" t="s">
        <v>45</v>
      </c>
      <c r="Q34" s="45">
        <v>1400.62</v>
      </c>
      <c r="R34" s="45">
        <v>7702.47</v>
      </c>
      <c r="S34" s="18">
        <f t="shared" ref="S34:S65" si="11">SUM(Q34:R34)</f>
        <v>9103.09</v>
      </c>
      <c r="T34" s="64">
        <f t="shared" si="3"/>
        <v>10013.399000000001</v>
      </c>
      <c r="U34" s="65">
        <v>4761.7299999999996</v>
      </c>
      <c r="V34" s="65"/>
      <c r="W34" s="21">
        <f t="shared" si="4"/>
        <v>4761.7299999999996</v>
      </c>
      <c r="X34" s="22">
        <f t="shared" si="5"/>
        <v>4341.3600000000006</v>
      </c>
      <c r="Y34" s="35">
        <f t="shared" si="6"/>
        <v>0.47691058750380372</v>
      </c>
      <c r="Z34" s="20"/>
      <c r="AA34" s="11">
        <f t="shared" si="9"/>
        <v>43237</v>
      </c>
      <c r="AB34" s="20"/>
      <c r="AC34" s="24" t="s">
        <v>73</v>
      </c>
      <c r="AD34" s="10" t="s">
        <v>47</v>
      </c>
      <c r="AE34" s="10">
        <v>43167</v>
      </c>
      <c r="AF34" s="48"/>
      <c r="AG34" s="10">
        <v>43200</v>
      </c>
      <c r="AH34" s="25">
        <f t="shared" si="10"/>
        <v>33</v>
      </c>
      <c r="AK34" s="27"/>
    </row>
    <row r="35" spans="1:37" s="26" customFormat="1" ht="14.25" customHeight="1" x14ac:dyDescent="0.45">
      <c r="A35" s="8" t="s">
        <v>34</v>
      </c>
      <c r="B35" s="28" t="s">
        <v>42</v>
      </c>
      <c r="C35" s="28" t="s">
        <v>43</v>
      </c>
      <c r="D35" s="9"/>
      <c r="E35" s="9"/>
      <c r="F35" s="10"/>
      <c r="G35" s="10">
        <v>43646</v>
      </c>
      <c r="H35" s="51" t="s">
        <v>92</v>
      </c>
      <c r="I35" s="52"/>
      <c r="J35" s="51"/>
      <c r="K35" s="51"/>
      <c r="L35" s="9"/>
      <c r="M35" s="10" t="str">
        <f t="shared" si="0"/>
        <v>Jun-19</v>
      </c>
      <c r="N35" s="10" t="str">
        <f t="shared" si="1"/>
        <v>Jan-00</v>
      </c>
      <c r="O35" s="16" t="s">
        <v>142</v>
      </c>
      <c r="P35" s="18" t="s">
        <v>81</v>
      </c>
      <c r="Q35" s="45">
        <v>2197.21</v>
      </c>
      <c r="R35" s="45"/>
      <c r="S35" s="18">
        <f t="shared" si="11"/>
        <v>2197.21</v>
      </c>
      <c r="T35" s="64">
        <f t="shared" si="3"/>
        <v>2416.931</v>
      </c>
      <c r="U35" s="65">
        <v>2161.86</v>
      </c>
      <c r="V35" s="65"/>
      <c r="W35" s="78">
        <f t="shared" si="4"/>
        <v>2161.86</v>
      </c>
      <c r="X35" s="79">
        <f t="shared" si="5"/>
        <v>35.349999999999909</v>
      </c>
      <c r="Y35" s="80">
        <f t="shared" si="6"/>
        <v>1.6088585069246868E-2</v>
      </c>
      <c r="Z35" s="20"/>
      <c r="AA35" s="11">
        <f t="shared" si="9"/>
        <v>43660</v>
      </c>
      <c r="AB35" s="20"/>
      <c r="AC35" s="24" t="s">
        <v>73</v>
      </c>
      <c r="AD35" s="10" t="s">
        <v>47</v>
      </c>
      <c r="AE35" s="10">
        <v>43167</v>
      </c>
      <c r="AF35" s="48"/>
      <c r="AG35" s="10">
        <v>43200</v>
      </c>
      <c r="AH35" s="25">
        <f t="shared" si="10"/>
        <v>33</v>
      </c>
      <c r="AK35" s="27"/>
    </row>
    <row r="36" spans="1:37" s="26" customFormat="1" ht="14.25" customHeight="1" x14ac:dyDescent="0.45">
      <c r="A36" s="28" t="s">
        <v>41</v>
      </c>
      <c r="B36" s="8" t="s">
        <v>35</v>
      </c>
      <c r="C36" s="8" t="s">
        <v>36</v>
      </c>
      <c r="D36" s="9" t="s">
        <v>143</v>
      </c>
      <c r="E36" s="9">
        <v>43341</v>
      </c>
      <c r="F36" s="10">
        <v>43293</v>
      </c>
      <c r="G36" s="10">
        <v>43293</v>
      </c>
      <c r="H36" s="14">
        <v>43297</v>
      </c>
      <c r="I36" s="54">
        <v>43312</v>
      </c>
      <c r="J36" s="15">
        <v>43328</v>
      </c>
      <c r="K36" s="15">
        <v>43340</v>
      </c>
      <c r="L36" s="9"/>
      <c r="M36" s="10" t="str">
        <f t="shared" si="0"/>
        <v>Jul-18</v>
      </c>
      <c r="N36" s="10" t="str">
        <f t="shared" si="1"/>
        <v>Aug-18</v>
      </c>
      <c r="O36" s="16" t="s">
        <v>144</v>
      </c>
      <c r="P36" s="18" t="s">
        <v>145</v>
      </c>
      <c r="Q36" s="45">
        <v>3858.83</v>
      </c>
      <c r="R36" s="45">
        <v>14876.74</v>
      </c>
      <c r="S36" s="18">
        <f t="shared" si="11"/>
        <v>18735.57</v>
      </c>
      <c r="T36" s="64">
        <f t="shared" si="3"/>
        <v>20609.127</v>
      </c>
      <c r="U36" s="65">
        <v>11554.27</v>
      </c>
      <c r="V36" s="65"/>
      <c r="W36" s="21">
        <f t="shared" si="4"/>
        <v>11554.27</v>
      </c>
      <c r="X36" s="22">
        <f t="shared" si="5"/>
        <v>7181.2999999999993</v>
      </c>
      <c r="Y36" s="35">
        <f t="shared" si="6"/>
        <v>0.38329765254006148</v>
      </c>
      <c r="Z36" s="20"/>
      <c r="AA36" s="11">
        <f t="shared" si="9"/>
        <v>43307</v>
      </c>
      <c r="AB36" s="20"/>
      <c r="AC36" s="24" t="s">
        <v>73</v>
      </c>
      <c r="AD36" s="10" t="s">
        <v>47</v>
      </c>
      <c r="AE36" s="10">
        <v>43172</v>
      </c>
      <c r="AF36" s="48"/>
      <c r="AG36" s="10">
        <v>43199</v>
      </c>
      <c r="AH36" s="25">
        <f t="shared" si="10"/>
        <v>27</v>
      </c>
      <c r="AK36" s="27"/>
    </row>
    <row r="37" spans="1:37" s="26" customFormat="1" ht="14.25" customHeight="1" x14ac:dyDescent="0.45">
      <c r="A37" s="28" t="s">
        <v>41</v>
      </c>
      <c r="B37" s="8" t="s">
        <v>146</v>
      </c>
      <c r="C37" s="8" t="s">
        <v>36</v>
      </c>
      <c r="D37" s="9"/>
      <c r="E37" s="9"/>
      <c r="F37" s="10">
        <v>43515</v>
      </c>
      <c r="G37" s="10">
        <v>43515</v>
      </c>
      <c r="H37" s="70"/>
      <c r="I37" s="68"/>
      <c r="J37" s="51">
        <f>G37+14</f>
        <v>43529</v>
      </c>
      <c r="K37" s="51">
        <f>J37+14</f>
        <v>43543</v>
      </c>
      <c r="L37" s="9"/>
      <c r="M37" s="10" t="str">
        <f t="shared" si="0"/>
        <v>Feb-19</v>
      </c>
      <c r="N37" s="10" t="str">
        <f t="shared" si="1"/>
        <v>Mar-19</v>
      </c>
      <c r="O37" s="16" t="s">
        <v>147</v>
      </c>
      <c r="P37" s="18" t="s">
        <v>148</v>
      </c>
      <c r="Q37" s="45">
        <v>560</v>
      </c>
      <c r="R37" s="73"/>
      <c r="S37" s="18">
        <f t="shared" si="11"/>
        <v>560</v>
      </c>
      <c r="T37" s="64">
        <f t="shared" si="3"/>
        <v>616</v>
      </c>
      <c r="U37" s="65"/>
      <c r="V37" s="65"/>
      <c r="W37" s="21">
        <f t="shared" si="4"/>
        <v>0</v>
      </c>
      <c r="X37" s="22">
        <f t="shared" si="5"/>
        <v>560</v>
      </c>
      <c r="Y37" s="35">
        <f t="shared" si="6"/>
        <v>1</v>
      </c>
      <c r="Z37" s="20"/>
      <c r="AA37" s="11">
        <f t="shared" si="9"/>
        <v>43529</v>
      </c>
      <c r="AB37" s="20"/>
      <c r="AC37" s="24" t="s">
        <v>46</v>
      </c>
      <c r="AD37" s="10" t="s">
        <v>47</v>
      </c>
      <c r="AE37" s="10">
        <v>43173</v>
      </c>
      <c r="AF37" s="48"/>
      <c r="AG37" s="10">
        <v>43235</v>
      </c>
      <c r="AH37" s="25">
        <f t="shared" si="10"/>
        <v>62</v>
      </c>
      <c r="AK37" s="27"/>
    </row>
    <row r="38" spans="1:37" s="26" customFormat="1" ht="14.25" customHeight="1" x14ac:dyDescent="0.45">
      <c r="A38" s="28" t="s">
        <v>41</v>
      </c>
      <c r="B38" s="8" t="s">
        <v>35</v>
      </c>
      <c r="C38" s="8" t="s">
        <v>36</v>
      </c>
      <c r="D38" s="9" t="s">
        <v>149</v>
      </c>
      <c r="E38" s="9">
        <v>43354</v>
      </c>
      <c r="F38" s="10">
        <v>43305</v>
      </c>
      <c r="G38" s="10">
        <v>43305</v>
      </c>
      <c r="H38" s="15">
        <v>43306</v>
      </c>
      <c r="I38" s="49">
        <v>43342</v>
      </c>
      <c r="J38" s="14">
        <f>G38+14</f>
        <v>43319</v>
      </c>
      <c r="K38" s="15">
        <v>43354</v>
      </c>
      <c r="L38" s="9"/>
      <c r="M38" s="10" t="str">
        <f t="shared" si="0"/>
        <v>Jul-18</v>
      </c>
      <c r="N38" s="10" t="str">
        <f t="shared" si="1"/>
        <v>Sep-18</v>
      </c>
      <c r="O38" s="16" t="s">
        <v>150</v>
      </c>
      <c r="P38" s="18" t="s">
        <v>151</v>
      </c>
      <c r="Q38" s="45">
        <v>1156.52</v>
      </c>
      <c r="R38" s="45">
        <v>4793.13</v>
      </c>
      <c r="S38" s="18">
        <f t="shared" si="11"/>
        <v>5949.65</v>
      </c>
      <c r="T38" s="64">
        <f t="shared" si="3"/>
        <v>6544.6149999999998</v>
      </c>
      <c r="U38" s="34">
        <v>1105.71</v>
      </c>
      <c r="V38" s="34"/>
      <c r="W38" s="21">
        <f t="shared" si="4"/>
        <v>1105.71</v>
      </c>
      <c r="X38" s="46">
        <f t="shared" si="5"/>
        <v>4843.9399999999996</v>
      </c>
      <c r="Y38" s="35">
        <f t="shared" si="6"/>
        <v>0.8141554545225349</v>
      </c>
      <c r="Z38" s="20"/>
      <c r="AA38" s="11">
        <f t="shared" si="9"/>
        <v>43319</v>
      </c>
      <c r="AB38" s="20"/>
      <c r="AC38" s="24" t="s">
        <v>152</v>
      </c>
      <c r="AD38" s="10" t="s">
        <v>47</v>
      </c>
      <c r="AE38" s="10">
        <v>43174</v>
      </c>
      <c r="AF38" s="48"/>
      <c r="AG38" s="10">
        <v>43220</v>
      </c>
      <c r="AH38" s="25">
        <f t="shared" si="10"/>
        <v>46</v>
      </c>
      <c r="AK38" s="27"/>
    </row>
    <row r="39" spans="1:37" s="26" customFormat="1" ht="14.25" customHeight="1" x14ac:dyDescent="0.45">
      <c r="A39" s="28" t="s">
        <v>41</v>
      </c>
      <c r="B39" s="8" t="s">
        <v>35</v>
      </c>
      <c r="C39" s="8" t="s">
        <v>36</v>
      </c>
      <c r="D39" s="9" t="s">
        <v>153</v>
      </c>
      <c r="E39" s="9">
        <v>43367</v>
      </c>
      <c r="F39" s="10">
        <v>43343</v>
      </c>
      <c r="G39" s="10">
        <v>43343</v>
      </c>
      <c r="H39" s="67"/>
      <c r="I39" s="68"/>
      <c r="J39" s="14">
        <f>G39+14</f>
        <v>43357</v>
      </c>
      <c r="K39" s="14">
        <f>J39+14</f>
        <v>43371</v>
      </c>
      <c r="L39" s="9"/>
      <c r="M39" s="10" t="str">
        <f t="shared" si="0"/>
        <v>Aug-18</v>
      </c>
      <c r="N39" s="10" t="str">
        <f t="shared" si="1"/>
        <v>Sep-18</v>
      </c>
      <c r="O39" s="16" t="s">
        <v>154</v>
      </c>
      <c r="P39" s="18" t="s">
        <v>155</v>
      </c>
      <c r="Q39" s="45">
        <v>2731.54</v>
      </c>
      <c r="R39" s="73"/>
      <c r="S39" s="18">
        <f t="shared" si="11"/>
        <v>2731.54</v>
      </c>
      <c r="T39" s="64">
        <f t="shared" si="3"/>
        <v>3004.6940000000004</v>
      </c>
      <c r="U39" s="65"/>
      <c r="V39" s="65">
        <v>1200</v>
      </c>
      <c r="W39" s="21">
        <f t="shared" si="4"/>
        <v>1200</v>
      </c>
      <c r="X39" s="22">
        <f t="shared" si="5"/>
        <v>1531.54</v>
      </c>
      <c r="Y39" s="35">
        <f t="shared" si="6"/>
        <v>0.56068737781617695</v>
      </c>
      <c r="Z39" s="20"/>
      <c r="AA39" s="11">
        <f t="shared" si="9"/>
        <v>43357</v>
      </c>
      <c r="AB39" s="20"/>
      <c r="AC39" s="24" t="s">
        <v>61</v>
      </c>
      <c r="AD39" s="10" t="s">
        <v>47</v>
      </c>
      <c r="AE39" s="10">
        <v>43174</v>
      </c>
      <c r="AF39" s="48"/>
      <c r="AG39" s="10">
        <v>43231</v>
      </c>
      <c r="AH39" s="25">
        <f t="shared" si="10"/>
        <v>57</v>
      </c>
      <c r="AK39" s="27"/>
    </row>
    <row r="40" spans="1:37" s="26" customFormat="1" ht="14.25" customHeight="1" x14ac:dyDescent="0.45">
      <c r="A40" s="28" t="s">
        <v>41</v>
      </c>
      <c r="B40" s="8" t="s">
        <v>35</v>
      </c>
      <c r="C40" s="8" t="s">
        <v>36</v>
      </c>
      <c r="D40" s="9" t="s">
        <v>156</v>
      </c>
      <c r="E40" s="9">
        <v>43361</v>
      </c>
      <c r="F40" s="10">
        <v>43333</v>
      </c>
      <c r="G40" s="10">
        <v>43333</v>
      </c>
      <c r="H40" s="14">
        <v>43334</v>
      </c>
      <c r="I40" s="54">
        <v>43342</v>
      </c>
      <c r="J40" s="14">
        <f>G40+14</f>
        <v>43347</v>
      </c>
      <c r="K40" s="14">
        <f>J40+14</f>
        <v>43361</v>
      </c>
      <c r="L40" s="9"/>
      <c r="M40" s="10" t="str">
        <f t="shared" si="0"/>
        <v>Aug-18</v>
      </c>
      <c r="N40" s="10" t="str">
        <f t="shared" si="1"/>
        <v>Sep-18</v>
      </c>
      <c r="O40" s="16" t="s">
        <v>157</v>
      </c>
      <c r="P40" s="18" t="s">
        <v>158</v>
      </c>
      <c r="Q40" s="45">
        <v>560</v>
      </c>
      <c r="R40" s="45">
        <v>512.55999999999995</v>
      </c>
      <c r="S40" s="18">
        <f t="shared" si="11"/>
        <v>1072.56</v>
      </c>
      <c r="T40" s="64">
        <f t="shared" si="3"/>
        <v>1179.816</v>
      </c>
      <c r="U40" s="65"/>
      <c r="V40" s="65"/>
      <c r="W40" s="21">
        <f t="shared" si="4"/>
        <v>0</v>
      </c>
      <c r="X40" s="22">
        <f t="shared" si="5"/>
        <v>1072.56</v>
      </c>
      <c r="Y40" s="35">
        <f t="shared" si="6"/>
        <v>1</v>
      </c>
      <c r="Z40" s="20"/>
      <c r="AA40" s="11">
        <f t="shared" si="9"/>
        <v>43347</v>
      </c>
      <c r="AB40" s="20"/>
      <c r="AC40" s="24" t="s">
        <v>152</v>
      </c>
      <c r="AD40" s="10" t="s">
        <v>47</v>
      </c>
      <c r="AE40" s="10">
        <v>43174</v>
      </c>
      <c r="AF40" s="48"/>
      <c r="AG40" s="10">
        <v>43251</v>
      </c>
      <c r="AH40" s="25">
        <f t="shared" si="10"/>
        <v>77</v>
      </c>
      <c r="AK40" s="27"/>
    </row>
    <row r="41" spans="1:37" s="26" customFormat="1" ht="14.25" customHeight="1" x14ac:dyDescent="0.45">
      <c r="A41" s="28" t="s">
        <v>41</v>
      </c>
      <c r="B41" s="28" t="s">
        <v>42</v>
      </c>
      <c r="C41" s="28" t="s">
        <v>43</v>
      </c>
      <c r="D41" s="9"/>
      <c r="E41" s="9"/>
      <c r="F41" s="10"/>
      <c r="G41" s="10">
        <v>43646</v>
      </c>
      <c r="H41" s="51"/>
      <c r="I41" s="52"/>
      <c r="J41" s="51"/>
      <c r="K41" s="51"/>
      <c r="L41" s="9"/>
      <c r="M41" s="10" t="str">
        <f t="shared" si="0"/>
        <v>Jun-19</v>
      </c>
      <c r="N41" s="10" t="str">
        <f t="shared" si="1"/>
        <v>Jan-00</v>
      </c>
      <c r="O41" s="16" t="s">
        <v>159</v>
      </c>
      <c r="P41" s="18" t="s">
        <v>160</v>
      </c>
      <c r="Q41" s="45">
        <v>2930.88</v>
      </c>
      <c r="R41" s="45"/>
      <c r="S41" s="18">
        <f t="shared" si="11"/>
        <v>2930.88</v>
      </c>
      <c r="T41" s="64">
        <f t="shared" si="3"/>
        <v>3223.9680000000003</v>
      </c>
      <c r="U41" s="65"/>
      <c r="V41" s="65"/>
      <c r="W41" s="21">
        <f t="shared" si="4"/>
        <v>0</v>
      </c>
      <c r="X41" s="22">
        <f t="shared" si="5"/>
        <v>2930.88</v>
      </c>
      <c r="Y41" s="35">
        <f t="shared" si="6"/>
        <v>1</v>
      </c>
      <c r="Z41" s="20"/>
      <c r="AA41" s="11">
        <f t="shared" si="9"/>
        <v>43660</v>
      </c>
      <c r="AB41" s="20"/>
      <c r="AC41" s="24" t="s">
        <v>73</v>
      </c>
      <c r="AD41" s="10" t="s">
        <v>47</v>
      </c>
      <c r="AE41" s="10">
        <v>43174</v>
      </c>
      <c r="AF41" s="48"/>
      <c r="AG41" s="10">
        <v>43185</v>
      </c>
      <c r="AH41" s="25">
        <f t="shared" si="10"/>
        <v>11</v>
      </c>
      <c r="AK41" s="27"/>
    </row>
    <row r="42" spans="1:37" s="26" customFormat="1" ht="14.25" customHeight="1" x14ac:dyDescent="0.45">
      <c r="A42" s="28" t="s">
        <v>41</v>
      </c>
      <c r="B42" s="8" t="s">
        <v>35</v>
      </c>
      <c r="C42" s="8" t="s">
        <v>36</v>
      </c>
      <c r="D42" s="9" t="s">
        <v>161</v>
      </c>
      <c r="E42" s="9">
        <v>43257</v>
      </c>
      <c r="F42" s="10">
        <v>43234</v>
      </c>
      <c r="G42" s="10">
        <v>43235</v>
      </c>
      <c r="H42" s="14">
        <v>43238</v>
      </c>
      <c r="I42" s="54">
        <v>43250</v>
      </c>
      <c r="J42" s="14">
        <f>G42+14</f>
        <v>43249</v>
      </c>
      <c r="K42" s="14">
        <v>43256</v>
      </c>
      <c r="L42" s="9"/>
      <c r="M42" s="10" t="str">
        <f t="shared" si="0"/>
        <v>May-18</v>
      </c>
      <c r="N42" s="10" t="str">
        <f t="shared" si="1"/>
        <v>Jun-18</v>
      </c>
      <c r="O42" s="16" t="s">
        <v>162</v>
      </c>
      <c r="P42" s="18" t="s">
        <v>163</v>
      </c>
      <c r="Q42" s="45">
        <v>5800.45</v>
      </c>
      <c r="R42" s="45">
        <v>-1002.48</v>
      </c>
      <c r="S42" s="18">
        <f t="shared" si="11"/>
        <v>4797.9699999999993</v>
      </c>
      <c r="T42" s="64">
        <f t="shared" si="3"/>
        <v>5277.7669999999998</v>
      </c>
      <c r="U42" s="65"/>
      <c r="V42" s="65"/>
      <c r="W42" s="21">
        <f t="shared" si="4"/>
        <v>0</v>
      </c>
      <c r="X42" s="22">
        <f t="shared" si="5"/>
        <v>4797.9699999999993</v>
      </c>
      <c r="Y42" s="35">
        <f t="shared" si="6"/>
        <v>1</v>
      </c>
      <c r="Z42" s="20"/>
      <c r="AA42" s="11">
        <f t="shared" si="9"/>
        <v>43249</v>
      </c>
      <c r="AB42" s="20"/>
      <c r="AC42" s="24" t="s">
        <v>152</v>
      </c>
      <c r="AD42" s="10" t="s">
        <v>47</v>
      </c>
      <c r="AE42" s="10">
        <v>43174</v>
      </c>
      <c r="AF42" s="48"/>
      <c r="AG42" s="10">
        <v>43206</v>
      </c>
      <c r="AH42" s="25">
        <f t="shared" si="10"/>
        <v>32</v>
      </c>
      <c r="AK42" s="27"/>
    </row>
    <row r="43" spans="1:37" s="26" customFormat="1" ht="14.25" customHeight="1" x14ac:dyDescent="0.45">
      <c r="A43" s="28" t="s">
        <v>41</v>
      </c>
      <c r="B43" s="8" t="s">
        <v>35</v>
      </c>
      <c r="C43" s="8" t="s">
        <v>36</v>
      </c>
      <c r="D43" s="9" t="s">
        <v>164</v>
      </c>
      <c r="E43" s="9">
        <v>43369</v>
      </c>
      <c r="F43" s="10">
        <v>43305</v>
      </c>
      <c r="G43" s="10">
        <v>43305</v>
      </c>
      <c r="H43" s="67"/>
      <c r="I43" s="68"/>
      <c r="J43" s="15">
        <v>43356</v>
      </c>
      <c r="K43" s="14">
        <f>J43+14</f>
        <v>43370</v>
      </c>
      <c r="L43" s="9"/>
      <c r="M43" s="10" t="str">
        <f t="shared" si="0"/>
        <v>Jul-18</v>
      </c>
      <c r="N43" s="10" t="str">
        <f t="shared" si="1"/>
        <v>Sep-18</v>
      </c>
      <c r="O43" s="16" t="s">
        <v>165</v>
      </c>
      <c r="P43" s="18" t="s">
        <v>76</v>
      </c>
      <c r="Q43" s="45">
        <v>2800</v>
      </c>
      <c r="R43" s="73"/>
      <c r="S43" s="18">
        <f t="shared" si="11"/>
        <v>2800</v>
      </c>
      <c r="T43" s="64">
        <f t="shared" si="3"/>
        <v>3080.0000000000005</v>
      </c>
      <c r="U43" s="65">
        <v>1434.4</v>
      </c>
      <c r="V43" s="65"/>
      <c r="W43" s="21">
        <f t="shared" si="4"/>
        <v>1434.4</v>
      </c>
      <c r="X43" s="22">
        <f t="shared" si="5"/>
        <v>1365.6</v>
      </c>
      <c r="Y43" s="35">
        <f t="shared" si="6"/>
        <v>0.48771428571428566</v>
      </c>
      <c r="Z43" s="20"/>
      <c r="AA43" s="11">
        <f t="shared" si="9"/>
        <v>43319</v>
      </c>
      <c r="AB43" s="20"/>
      <c r="AC43" s="24" t="s">
        <v>152</v>
      </c>
      <c r="AD43" s="10" t="s">
        <v>47</v>
      </c>
      <c r="AE43" s="10">
        <v>43174</v>
      </c>
      <c r="AF43" s="48"/>
      <c r="AG43" s="10">
        <v>43220</v>
      </c>
      <c r="AH43" s="25">
        <f t="shared" si="10"/>
        <v>46</v>
      </c>
      <c r="AK43" s="27"/>
    </row>
    <row r="44" spans="1:37" s="26" customFormat="1" ht="14.25" customHeight="1" x14ac:dyDescent="0.45">
      <c r="A44" s="28" t="s">
        <v>41</v>
      </c>
      <c r="B44" s="8" t="s">
        <v>35</v>
      </c>
      <c r="C44" s="8" t="s">
        <v>36</v>
      </c>
      <c r="D44" s="9" t="s">
        <v>166</v>
      </c>
      <c r="E44" s="9">
        <v>43250</v>
      </c>
      <c r="F44" s="10">
        <v>43223</v>
      </c>
      <c r="G44" s="10">
        <v>43223</v>
      </c>
      <c r="H44" s="14">
        <v>43230</v>
      </c>
      <c r="I44" s="54">
        <v>43243</v>
      </c>
      <c r="J44" s="14">
        <v>43236</v>
      </c>
      <c r="K44" s="14">
        <v>43251</v>
      </c>
      <c r="L44" s="9"/>
      <c r="M44" s="10" t="str">
        <f t="shared" si="0"/>
        <v>May-18</v>
      </c>
      <c r="N44" s="10" t="str">
        <f t="shared" si="1"/>
        <v>May-18</v>
      </c>
      <c r="O44" s="16" t="s">
        <v>167</v>
      </c>
      <c r="P44" s="18" t="s">
        <v>168</v>
      </c>
      <c r="Q44" s="45">
        <v>1692.36</v>
      </c>
      <c r="R44" s="45">
        <v>8088.39</v>
      </c>
      <c r="S44" s="18">
        <f t="shared" si="11"/>
        <v>9780.75</v>
      </c>
      <c r="T44" s="64">
        <f t="shared" si="3"/>
        <v>10758.825000000001</v>
      </c>
      <c r="U44" s="21">
        <v>7048.27</v>
      </c>
      <c r="V44" s="65"/>
      <c r="W44" s="21">
        <f t="shared" si="4"/>
        <v>7048.27</v>
      </c>
      <c r="X44" s="22">
        <f t="shared" si="5"/>
        <v>2732.4799999999996</v>
      </c>
      <c r="Y44" s="35">
        <f t="shared" si="6"/>
        <v>0.27937325869693014</v>
      </c>
      <c r="Z44" s="20"/>
      <c r="AA44" s="11">
        <f t="shared" si="9"/>
        <v>43237</v>
      </c>
      <c r="AB44" s="20"/>
      <c r="AC44" s="24" t="s">
        <v>73</v>
      </c>
      <c r="AD44" s="10" t="s">
        <v>47</v>
      </c>
      <c r="AE44" s="10">
        <v>43178</v>
      </c>
      <c r="AF44" s="48"/>
      <c r="AG44" s="10">
        <v>43208</v>
      </c>
      <c r="AH44" s="25">
        <f t="shared" si="10"/>
        <v>30</v>
      </c>
      <c r="AK44" s="27"/>
    </row>
    <row r="45" spans="1:37" s="26" customFormat="1" ht="14.25" customHeight="1" x14ac:dyDescent="0.45">
      <c r="A45" s="28" t="s">
        <v>41</v>
      </c>
      <c r="B45" s="8" t="s">
        <v>35</v>
      </c>
      <c r="C45" s="8" t="s">
        <v>36</v>
      </c>
      <c r="D45" s="9" t="s">
        <v>169</v>
      </c>
      <c r="E45" s="9">
        <v>43263</v>
      </c>
      <c r="F45" s="10">
        <v>43258</v>
      </c>
      <c r="G45" s="10">
        <v>43258</v>
      </c>
      <c r="H45" s="55">
        <v>43258</v>
      </c>
      <c r="I45" s="54">
        <v>43272</v>
      </c>
      <c r="J45" s="14">
        <f>G45+14</f>
        <v>43272</v>
      </c>
      <c r="K45" s="14">
        <v>43279</v>
      </c>
      <c r="L45" s="9"/>
      <c r="M45" s="10" t="str">
        <f t="shared" si="0"/>
        <v>Jun-18</v>
      </c>
      <c r="N45" s="10" t="str">
        <f t="shared" si="1"/>
        <v>Jun-18</v>
      </c>
      <c r="O45" s="16" t="s">
        <v>170</v>
      </c>
      <c r="P45" s="18" t="s">
        <v>163</v>
      </c>
      <c r="Q45" s="45">
        <v>2640</v>
      </c>
      <c r="R45" s="45">
        <v>512.55999999999995</v>
      </c>
      <c r="S45" s="18">
        <f t="shared" si="11"/>
        <v>3152.56</v>
      </c>
      <c r="T45" s="64">
        <f t="shared" si="3"/>
        <v>3467.8160000000003</v>
      </c>
      <c r="U45" s="65"/>
      <c r="V45" s="65"/>
      <c r="W45" s="21">
        <f t="shared" si="4"/>
        <v>0</v>
      </c>
      <c r="X45" s="22">
        <f t="shared" si="5"/>
        <v>3152.56</v>
      </c>
      <c r="Y45" s="35">
        <f t="shared" si="6"/>
        <v>1</v>
      </c>
      <c r="Z45" s="20"/>
      <c r="AA45" s="11">
        <f t="shared" si="9"/>
        <v>43272</v>
      </c>
      <c r="AB45" s="20"/>
      <c r="AC45" s="24" t="s">
        <v>152</v>
      </c>
      <c r="AD45" s="10" t="s">
        <v>47</v>
      </c>
      <c r="AE45" s="10">
        <v>43180</v>
      </c>
      <c r="AF45" s="48"/>
      <c r="AG45" s="10">
        <v>43200</v>
      </c>
      <c r="AH45" s="25">
        <f t="shared" si="10"/>
        <v>20</v>
      </c>
      <c r="AK45" s="27"/>
    </row>
    <row r="46" spans="1:37" s="26" customFormat="1" ht="14.25" customHeight="1" x14ac:dyDescent="0.45">
      <c r="A46" s="28" t="s">
        <v>41</v>
      </c>
      <c r="B46" s="28" t="s">
        <v>42</v>
      </c>
      <c r="C46" s="28" t="s">
        <v>43</v>
      </c>
      <c r="D46" s="9"/>
      <c r="E46" s="9"/>
      <c r="F46" s="10">
        <v>43529</v>
      </c>
      <c r="G46" s="10">
        <v>43529</v>
      </c>
      <c r="H46" s="51">
        <v>43529</v>
      </c>
      <c r="I46" s="52"/>
      <c r="J46" s="51">
        <f>G46+14</f>
        <v>43543</v>
      </c>
      <c r="K46" s="51">
        <f>J46+14</f>
        <v>43557</v>
      </c>
      <c r="L46" s="9"/>
      <c r="M46" s="10" t="str">
        <f t="shared" si="0"/>
        <v>Mar-19</v>
      </c>
      <c r="N46" s="10" t="str">
        <f t="shared" si="1"/>
        <v>Apr-19</v>
      </c>
      <c r="O46" s="16" t="s">
        <v>171</v>
      </c>
      <c r="P46" s="18" t="s">
        <v>172</v>
      </c>
      <c r="Q46" s="45">
        <v>857.61</v>
      </c>
      <c r="R46" s="45">
        <v>745.96</v>
      </c>
      <c r="S46" s="18">
        <f t="shared" si="11"/>
        <v>1603.5700000000002</v>
      </c>
      <c r="T46" s="64">
        <f t="shared" si="3"/>
        <v>1763.9270000000004</v>
      </c>
      <c r="U46" s="65"/>
      <c r="V46" s="65"/>
      <c r="W46" s="21">
        <f t="shared" si="4"/>
        <v>0</v>
      </c>
      <c r="X46" s="22">
        <f t="shared" si="5"/>
        <v>1603.5700000000002</v>
      </c>
      <c r="Y46" s="35">
        <f t="shared" si="6"/>
        <v>1</v>
      </c>
      <c r="Z46" s="20"/>
      <c r="AA46" s="11">
        <f t="shared" si="9"/>
        <v>43543</v>
      </c>
      <c r="AB46" s="20"/>
      <c r="AC46" s="24" t="s">
        <v>73</v>
      </c>
      <c r="AD46" s="10" t="s">
        <v>47</v>
      </c>
      <c r="AE46" s="10">
        <v>43180</v>
      </c>
      <c r="AF46" s="48"/>
      <c r="AG46" s="10">
        <v>43213</v>
      </c>
      <c r="AH46" s="25">
        <f t="shared" si="10"/>
        <v>33</v>
      </c>
      <c r="AK46" s="27"/>
    </row>
    <row r="47" spans="1:37" s="26" customFormat="1" ht="14.25" customHeight="1" x14ac:dyDescent="0.45">
      <c r="A47" s="28" t="s">
        <v>41</v>
      </c>
      <c r="B47" s="8" t="s">
        <v>35</v>
      </c>
      <c r="C47" s="8" t="s">
        <v>36</v>
      </c>
      <c r="D47" s="9" t="s">
        <v>173</v>
      </c>
      <c r="E47" s="9">
        <v>43242</v>
      </c>
      <c r="F47" s="10">
        <v>43223</v>
      </c>
      <c r="G47" s="10">
        <v>43223</v>
      </c>
      <c r="H47" s="14">
        <v>43228</v>
      </c>
      <c r="I47" s="54">
        <v>43234</v>
      </c>
      <c r="J47" s="14">
        <v>43236</v>
      </c>
      <c r="K47" s="14">
        <v>43242</v>
      </c>
      <c r="L47" s="9"/>
      <c r="M47" s="10" t="str">
        <f t="shared" si="0"/>
        <v>May-18</v>
      </c>
      <c r="N47" s="10" t="str">
        <f t="shared" si="1"/>
        <v>May-18</v>
      </c>
      <c r="O47" s="16" t="s">
        <v>174</v>
      </c>
      <c r="P47" s="18" t="s">
        <v>175</v>
      </c>
      <c r="Q47" s="45">
        <v>355.84</v>
      </c>
      <c r="R47" s="45">
        <v>668.3599999999999</v>
      </c>
      <c r="S47" s="18">
        <f t="shared" si="11"/>
        <v>1024.1999999999998</v>
      </c>
      <c r="T47" s="64">
        <f t="shared" si="3"/>
        <v>1126.6199999999999</v>
      </c>
      <c r="U47" s="65"/>
      <c r="V47" s="65"/>
      <c r="W47" s="21">
        <f t="shared" si="4"/>
        <v>0</v>
      </c>
      <c r="X47" s="22">
        <f t="shared" si="5"/>
        <v>1024.1999999999998</v>
      </c>
      <c r="Y47" s="35">
        <f t="shared" si="6"/>
        <v>1</v>
      </c>
      <c r="Z47" s="20"/>
      <c r="AA47" s="11">
        <f t="shared" si="9"/>
        <v>43237</v>
      </c>
      <c r="AB47" s="20"/>
      <c r="AC47" s="24" t="s">
        <v>73</v>
      </c>
      <c r="AD47" s="10" t="s">
        <v>47</v>
      </c>
      <c r="AE47" s="10">
        <v>43182</v>
      </c>
      <c r="AF47" s="48"/>
      <c r="AG47" s="10">
        <v>43221</v>
      </c>
      <c r="AH47" s="25">
        <f t="shared" si="10"/>
        <v>39</v>
      </c>
      <c r="AK47" s="27"/>
    </row>
    <row r="48" spans="1:37" s="26" customFormat="1" ht="14.25" customHeight="1" x14ac:dyDescent="0.45">
      <c r="A48" s="28" t="s">
        <v>115</v>
      </c>
      <c r="B48" s="8" t="s">
        <v>116</v>
      </c>
      <c r="C48" s="8" t="s">
        <v>36</v>
      </c>
      <c r="D48" s="9" t="s">
        <v>176</v>
      </c>
      <c r="E48" s="9">
        <v>43186</v>
      </c>
      <c r="F48" s="10">
        <v>43180</v>
      </c>
      <c r="G48" s="10">
        <v>43180</v>
      </c>
      <c r="H48" s="67"/>
      <c r="I48" s="68"/>
      <c r="J48" s="67"/>
      <c r="K48" s="14">
        <v>43258</v>
      </c>
      <c r="L48" s="9"/>
      <c r="M48" s="10" t="str">
        <f t="shared" si="0"/>
        <v>Mar-18</v>
      </c>
      <c r="N48" s="10" t="str">
        <f t="shared" si="1"/>
        <v>Jun-18</v>
      </c>
      <c r="O48" s="17" t="s">
        <v>177</v>
      </c>
      <c r="P48" s="18" t="s">
        <v>178</v>
      </c>
      <c r="Q48" s="45">
        <v>5297.0749999999998</v>
      </c>
      <c r="R48" s="69"/>
      <c r="S48" s="18">
        <f t="shared" si="11"/>
        <v>5297.0749999999998</v>
      </c>
      <c r="T48" s="64">
        <f t="shared" si="3"/>
        <v>5826.7825000000003</v>
      </c>
      <c r="U48" s="65">
        <v>1496</v>
      </c>
      <c r="V48" s="65">
        <f>9.5*41.14+9.5*20</f>
        <v>580.82999999999993</v>
      </c>
      <c r="W48" s="21">
        <f t="shared" si="4"/>
        <v>2076.83</v>
      </c>
      <c r="X48" s="22">
        <f t="shared" si="5"/>
        <v>3220.2449999999999</v>
      </c>
      <c r="Y48" s="35">
        <f t="shared" si="6"/>
        <v>0.60792890415937095</v>
      </c>
      <c r="Z48" s="20"/>
      <c r="AA48" s="11">
        <f t="shared" si="9"/>
        <v>43194</v>
      </c>
      <c r="AB48" s="20"/>
      <c r="AC48" s="24" t="s">
        <v>121</v>
      </c>
      <c r="AD48" s="70"/>
      <c r="AE48" s="70"/>
      <c r="AF48" s="71"/>
      <c r="AG48" s="70"/>
      <c r="AH48" s="72"/>
      <c r="AK48" s="27"/>
    </row>
    <row r="49" spans="1:37" s="26" customFormat="1" ht="15.35" customHeight="1" x14ac:dyDescent="0.45">
      <c r="A49" s="28" t="s">
        <v>41</v>
      </c>
      <c r="B49" s="8" t="s">
        <v>35</v>
      </c>
      <c r="C49" s="28" t="s">
        <v>43</v>
      </c>
      <c r="D49" s="9" t="s">
        <v>179</v>
      </c>
      <c r="E49" s="9">
        <v>43481</v>
      </c>
      <c r="F49" s="10">
        <v>43405</v>
      </c>
      <c r="G49" s="11">
        <v>43409</v>
      </c>
      <c r="H49" s="15">
        <v>43417</v>
      </c>
      <c r="I49" s="49">
        <v>43452</v>
      </c>
      <c r="J49" s="14">
        <f>G49+14</f>
        <v>43423</v>
      </c>
      <c r="K49" s="15">
        <v>43475</v>
      </c>
      <c r="L49" s="9"/>
      <c r="M49" s="10" t="str">
        <f t="shared" si="0"/>
        <v>Nov-18</v>
      </c>
      <c r="N49" s="10" t="str">
        <f t="shared" si="1"/>
        <v>Jan-19</v>
      </c>
      <c r="O49" s="16" t="s">
        <v>180</v>
      </c>
      <c r="P49" s="18" t="s">
        <v>181</v>
      </c>
      <c r="Q49" s="45">
        <v>1263</v>
      </c>
      <c r="R49" s="45">
        <v>5374.42</v>
      </c>
      <c r="S49" s="18">
        <f t="shared" si="11"/>
        <v>6637.42</v>
      </c>
      <c r="T49" s="64">
        <f t="shared" si="3"/>
        <v>7301.1620000000003</v>
      </c>
      <c r="U49" s="65"/>
      <c r="V49" s="65"/>
      <c r="W49" s="21">
        <f t="shared" si="4"/>
        <v>0</v>
      </c>
      <c r="X49" s="22">
        <f t="shared" si="5"/>
        <v>6637.42</v>
      </c>
      <c r="Y49" s="35">
        <f t="shared" si="6"/>
        <v>1</v>
      </c>
      <c r="Z49" s="20"/>
      <c r="AA49" s="11"/>
      <c r="AB49" s="20"/>
      <c r="AC49" s="24" t="s">
        <v>73</v>
      </c>
      <c r="AD49" s="10" t="s">
        <v>47</v>
      </c>
      <c r="AE49" s="10">
        <v>43262</v>
      </c>
      <c r="AF49" s="48"/>
      <c r="AG49" s="10">
        <v>43342</v>
      </c>
      <c r="AH49" s="25">
        <f t="shared" ref="AH49:AH75" si="12">AG49-AE49</f>
        <v>80</v>
      </c>
      <c r="AK49" s="27"/>
    </row>
    <row r="50" spans="1:37" s="26" customFormat="1" ht="14.25" customHeight="1" x14ac:dyDescent="0.45">
      <c r="A50" s="28" t="s">
        <v>41</v>
      </c>
      <c r="B50" s="8" t="s">
        <v>146</v>
      </c>
      <c r="C50" s="8" t="s">
        <v>36</v>
      </c>
      <c r="D50" s="9"/>
      <c r="E50" s="9"/>
      <c r="F50" s="10"/>
      <c r="G50" s="10">
        <v>43829</v>
      </c>
      <c r="H50" s="51"/>
      <c r="I50" s="52"/>
      <c r="J50" s="51"/>
      <c r="K50" s="51"/>
      <c r="L50" s="9"/>
      <c r="M50" s="10" t="str">
        <f t="shared" si="0"/>
        <v>Dec-19</v>
      </c>
      <c r="N50" s="10" t="str">
        <f t="shared" si="1"/>
        <v>Jan-00</v>
      </c>
      <c r="O50" s="16" t="s">
        <v>182</v>
      </c>
      <c r="P50" s="18" t="s">
        <v>50</v>
      </c>
      <c r="Q50" s="45">
        <v>1358.92</v>
      </c>
      <c r="R50" s="45"/>
      <c r="S50" s="18">
        <f t="shared" si="11"/>
        <v>1358.92</v>
      </c>
      <c r="T50" s="19">
        <f t="shared" si="3"/>
        <v>1494.8120000000001</v>
      </c>
      <c r="U50" s="20"/>
      <c r="V50" s="20"/>
      <c r="W50" s="21">
        <f t="shared" si="4"/>
        <v>0</v>
      </c>
      <c r="X50" s="22">
        <f t="shared" si="5"/>
        <v>1358.92</v>
      </c>
      <c r="Y50" s="35">
        <f t="shared" si="6"/>
        <v>1</v>
      </c>
      <c r="Z50" s="20"/>
      <c r="AA50" s="11">
        <f>G50+14</f>
        <v>43843</v>
      </c>
      <c r="AB50" s="20"/>
      <c r="AC50" s="24" t="s">
        <v>73</v>
      </c>
      <c r="AD50" s="10" t="s">
        <v>47</v>
      </c>
      <c r="AE50" s="10">
        <v>43187</v>
      </c>
      <c r="AF50" s="48"/>
      <c r="AG50" s="10">
        <v>43214</v>
      </c>
      <c r="AH50" s="25">
        <f t="shared" si="12"/>
        <v>27</v>
      </c>
      <c r="AK50" s="27"/>
    </row>
    <row r="51" spans="1:37" s="26" customFormat="1" ht="14.25" customHeight="1" x14ac:dyDescent="0.45">
      <c r="A51" s="28" t="s">
        <v>41</v>
      </c>
      <c r="B51" s="8" t="s">
        <v>146</v>
      </c>
      <c r="C51" s="8" t="s">
        <v>36</v>
      </c>
      <c r="D51" s="9"/>
      <c r="E51" s="9"/>
      <c r="F51" s="10"/>
      <c r="G51" s="10">
        <v>43646</v>
      </c>
      <c r="H51" s="51"/>
      <c r="I51" s="52"/>
      <c r="J51" s="51"/>
      <c r="K51" s="51"/>
      <c r="L51" s="9"/>
      <c r="M51" s="10" t="str">
        <f t="shared" si="0"/>
        <v>Jun-19</v>
      </c>
      <c r="N51" s="10" t="str">
        <f t="shared" si="1"/>
        <v>Jan-00</v>
      </c>
      <c r="O51" s="16" t="s">
        <v>183</v>
      </c>
      <c r="P51" s="18" t="s">
        <v>184</v>
      </c>
      <c r="Q51" s="45">
        <v>1828.86</v>
      </c>
      <c r="R51" s="45"/>
      <c r="S51" s="18">
        <f t="shared" si="11"/>
        <v>1828.86</v>
      </c>
      <c r="T51" s="19">
        <f t="shared" si="3"/>
        <v>2011.7460000000001</v>
      </c>
      <c r="U51" s="20"/>
      <c r="V51" s="20"/>
      <c r="W51" s="21">
        <f t="shared" si="4"/>
        <v>0</v>
      </c>
      <c r="X51" s="22">
        <f t="shared" si="5"/>
        <v>1828.86</v>
      </c>
      <c r="Y51" s="35">
        <f t="shared" si="6"/>
        <v>1</v>
      </c>
      <c r="Z51" s="20"/>
      <c r="AA51" s="11">
        <f>G51+14</f>
        <v>43660</v>
      </c>
      <c r="AB51" s="20"/>
      <c r="AC51" s="24" t="s">
        <v>73</v>
      </c>
      <c r="AD51" s="10" t="s">
        <v>47</v>
      </c>
      <c r="AE51" s="10">
        <v>43188</v>
      </c>
      <c r="AF51" s="48"/>
      <c r="AG51" s="10">
        <v>43214</v>
      </c>
      <c r="AH51" s="25">
        <f t="shared" si="12"/>
        <v>26</v>
      </c>
      <c r="AK51" s="27"/>
    </row>
    <row r="52" spans="1:37" s="26" customFormat="1" ht="14.25" customHeight="1" x14ac:dyDescent="0.45">
      <c r="A52" s="28" t="s">
        <v>41</v>
      </c>
      <c r="B52" s="8" t="s">
        <v>35</v>
      </c>
      <c r="C52" s="8" t="s">
        <v>36</v>
      </c>
      <c r="D52" s="9" t="s">
        <v>185</v>
      </c>
      <c r="E52" s="9">
        <v>43321</v>
      </c>
      <c r="F52" s="10">
        <v>43294</v>
      </c>
      <c r="G52" s="10">
        <v>43294</v>
      </c>
      <c r="H52" s="81">
        <v>43297</v>
      </c>
      <c r="I52" s="81">
        <v>43312</v>
      </c>
      <c r="J52" s="14">
        <f>G52+14</f>
        <v>43308</v>
      </c>
      <c r="K52" s="14">
        <v>43321</v>
      </c>
      <c r="L52" s="9"/>
      <c r="M52" s="10" t="str">
        <f t="shared" si="0"/>
        <v>Jul-18</v>
      </c>
      <c r="N52" s="10" t="str">
        <f t="shared" si="1"/>
        <v>Aug-18</v>
      </c>
      <c r="O52" s="16" t="s">
        <v>186</v>
      </c>
      <c r="P52" s="18" t="s">
        <v>187</v>
      </c>
      <c r="Q52" s="45">
        <v>1428.48</v>
      </c>
      <c r="R52" s="45">
        <v>11165.86</v>
      </c>
      <c r="S52" s="18">
        <f t="shared" si="11"/>
        <v>12594.34</v>
      </c>
      <c r="T52" s="19">
        <f t="shared" si="3"/>
        <v>13853.774000000001</v>
      </c>
      <c r="U52" s="65">
        <v>6326.5</v>
      </c>
      <c r="V52" s="65">
        <v>451.59774999999996</v>
      </c>
      <c r="W52" s="21">
        <f t="shared" si="4"/>
        <v>6778.0977499999999</v>
      </c>
      <c r="X52" s="22">
        <f t="shared" si="5"/>
        <v>5816.2422500000002</v>
      </c>
      <c r="Y52" s="35">
        <f t="shared" si="6"/>
        <v>0.46181397754864489</v>
      </c>
      <c r="Z52" s="20"/>
      <c r="AA52" s="11">
        <f>G52+14</f>
        <v>43308</v>
      </c>
      <c r="AB52" s="20"/>
      <c r="AC52" s="24" t="s">
        <v>73</v>
      </c>
      <c r="AD52" s="10" t="s">
        <v>47</v>
      </c>
      <c r="AE52" s="10">
        <v>43188</v>
      </c>
      <c r="AF52" s="48"/>
      <c r="AG52" s="10">
        <v>43214</v>
      </c>
      <c r="AH52" s="25">
        <f t="shared" si="12"/>
        <v>26</v>
      </c>
      <c r="AK52" s="27"/>
    </row>
    <row r="53" spans="1:37" s="26" customFormat="1" ht="14.25" customHeight="1" x14ac:dyDescent="0.45">
      <c r="A53" s="28" t="s">
        <v>41</v>
      </c>
      <c r="B53" s="8" t="s">
        <v>35</v>
      </c>
      <c r="C53" s="8" t="s">
        <v>36</v>
      </c>
      <c r="D53" s="9" t="s">
        <v>188</v>
      </c>
      <c r="E53" s="9">
        <v>43257</v>
      </c>
      <c r="F53" s="10">
        <v>43234</v>
      </c>
      <c r="G53" s="10">
        <v>43235</v>
      </c>
      <c r="H53" s="14">
        <v>43238</v>
      </c>
      <c r="I53" s="54">
        <v>43245</v>
      </c>
      <c r="J53" s="14">
        <f>G53+14</f>
        <v>43249</v>
      </c>
      <c r="K53" s="14">
        <v>43256</v>
      </c>
      <c r="L53" s="9"/>
      <c r="M53" s="10" t="str">
        <f t="shared" si="0"/>
        <v>May-18</v>
      </c>
      <c r="N53" s="10" t="str">
        <f t="shared" si="1"/>
        <v>Jun-18</v>
      </c>
      <c r="O53" s="16" t="s">
        <v>189</v>
      </c>
      <c r="P53" s="18" t="s">
        <v>190</v>
      </c>
      <c r="Q53" s="45">
        <v>69.16</v>
      </c>
      <c r="R53" s="32">
        <v>524.41999999999996</v>
      </c>
      <c r="S53" s="18">
        <f t="shared" si="11"/>
        <v>593.57999999999993</v>
      </c>
      <c r="T53" s="64">
        <f t="shared" si="3"/>
        <v>652.93799999999999</v>
      </c>
      <c r="U53" s="65"/>
      <c r="V53" s="65"/>
      <c r="W53" s="21">
        <f t="shared" si="4"/>
        <v>0</v>
      </c>
      <c r="X53" s="22">
        <f t="shared" si="5"/>
        <v>593.57999999999993</v>
      </c>
      <c r="Y53" s="35">
        <f t="shared" si="6"/>
        <v>1</v>
      </c>
      <c r="Z53" s="20"/>
      <c r="AA53" s="11">
        <f>G53+14</f>
        <v>43249</v>
      </c>
      <c r="AB53" s="20"/>
      <c r="AC53" s="24" t="s">
        <v>73</v>
      </c>
      <c r="AD53" s="10" t="s">
        <v>47</v>
      </c>
      <c r="AE53" s="10">
        <v>43194</v>
      </c>
      <c r="AF53" s="48"/>
      <c r="AG53" s="10">
        <v>43236</v>
      </c>
      <c r="AH53" s="25">
        <f t="shared" si="12"/>
        <v>42</v>
      </c>
      <c r="AK53" s="27"/>
    </row>
    <row r="54" spans="1:37" s="26" customFormat="1" ht="14.25" customHeight="1" x14ac:dyDescent="0.45">
      <c r="A54" s="28" t="s">
        <v>41</v>
      </c>
      <c r="B54" s="8" t="s">
        <v>35</v>
      </c>
      <c r="C54" s="8" t="s">
        <v>36</v>
      </c>
      <c r="D54" s="9" t="s">
        <v>191</v>
      </c>
      <c r="E54" s="9">
        <v>43272</v>
      </c>
      <c r="F54" s="10">
        <v>43252</v>
      </c>
      <c r="G54" s="10">
        <v>43252</v>
      </c>
      <c r="H54" s="55">
        <v>43252</v>
      </c>
      <c r="I54" s="54">
        <v>43256</v>
      </c>
      <c r="J54" s="14">
        <v>43265</v>
      </c>
      <c r="K54" s="14">
        <v>43273</v>
      </c>
      <c r="L54" s="9"/>
      <c r="M54" s="10" t="str">
        <f t="shared" si="0"/>
        <v>Jun-18</v>
      </c>
      <c r="N54" s="10" t="str">
        <f t="shared" si="1"/>
        <v>Jun-18</v>
      </c>
      <c r="O54" s="16" t="s">
        <v>192</v>
      </c>
      <c r="P54" s="18" t="s">
        <v>193</v>
      </c>
      <c r="Q54" s="45">
        <v>110.88</v>
      </c>
      <c r="R54" s="45">
        <v>544.41999999999996</v>
      </c>
      <c r="S54" s="18">
        <f t="shared" si="11"/>
        <v>655.29999999999995</v>
      </c>
      <c r="T54" s="64">
        <f t="shared" si="3"/>
        <v>720.83</v>
      </c>
      <c r="U54" s="65"/>
      <c r="V54" s="65"/>
      <c r="W54" s="21">
        <f t="shared" si="4"/>
        <v>0</v>
      </c>
      <c r="X54" s="22">
        <f t="shared" si="5"/>
        <v>655.29999999999995</v>
      </c>
      <c r="Y54" s="35">
        <f t="shared" si="6"/>
        <v>1</v>
      </c>
      <c r="Z54" s="20"/>
      <c r="AA54" s="11">
        <f>G54+14</f>
        <v>43266</v>
      </c>
      <c r="AB54" s="20"/>
      <c r="AC54" s="24" t="s">
        <v>73</v>
      </c>
      <c r="AD54" s="10" t="s">
        <v>47</v>
      </c>
      <c r="AE54" s="10">
        <v>43200</v>
      </c>
      <c r="AF54" s="48"/>
      <c r="AG54" s="10">
        <v>43238</v>
      </c>
      <c r="AH54" s="25">
        <f t="shared" si="12"/>
        <v>38</v>
      </c>
      <c r="AK54" s="27"/>
    </row>
    <row r="55" spans="1:37" s="26" customFormat="1" ht="14.25" customHeight="1" x14ac:dyDescent="0.45">
      <c r="A55" s="28" t="s">
        <v>41</v>
      </c>
      <c r="B55" s="8" t="s">
        <v>35</v>
      </c>
      <c r="C55" s="8" t="s">
        <v>36</v>
      </c>
      <c r="D55" s="9" t="s">
        <v>194</v>
      </c>
      <c r="E55" s="9">
        <v>43334</v>
      </c>
      <c r="F55" s="10">
        <v>43312</v>
      </c>
      <c r="G55" s="11">
        <v>43312</v>
      </c>
      <c r="H55" s="67"/>
      <c r="I55" s="68"/>
      <c r="J55" s="14">
        <f>G55+14</f>
        <v>43326</v>
      </c>
      <c r="K55" s="14">
        <v>43334</v>
      </c>
      <c r="L55" s="9"/>
      <c r="M55" s="10" t="str">
        <f t="shared" si="0"/>
        <v>Jul-18</v>
      </c>
      <c r="N55" s="10" t="str">
        <f t="shared" si="1"/>
        <v>Aug-18</v>
      </c>
      <c r="O55" s="16" t="s">
        <v>195</v>
      </c>
      <c r="P55" s="18" t="s">
        <v>196</v>
      </c>
      <c r="Q55" s="45">
        <v>2382.0700000000002</v>
      </c>
      <c r="R55" s="73"/>
      <c r="S55" s="18">
        <f t="shared" si="11"/>
        <v>2382.0700000000002</v>
      </c>
      <c r="T55" s="64">
        <f t="shared" si="3"/>
        <v>2620.2770000000005</v>
      </c>
      <c r="U55" s="34">
        <v>2463.42</v>
      </c>
      <c r="V55" s="43"/>
      <c r="W55" s="21">
        <f t="shared" si="4"/>
        <v>2463.42</v>
      </c>
      <c r="X55" s="46">
        <f t="shared" si="5"/>
        <v>-81.349999999999909</v>
      </c>
      <c r="Y55" s="35">
        <f t="shared" si="6"/>
        <v>-3.415096953490028E-2</v>
      </c>
      <c r="Z55" s="20"/>
      <c r="AA55" s="11"/>
      <c r="AB55" s="20"/>
      <c r="AC55" s="24" t="s">
        <v>73</v>
      </c>
      <c r="AD55" s="10" t="s">
        <v>47</v>
      </c>
      <c r="AE55" s="10">
        <v>43250</v>
      </c>
      <c r="AF55" s="48"/>
      <c r="AG55" s="10">
        <v>43341</v>
      </c>
      <c r="AH55" s="25">
        <f t="shared" si="12"/>
        <v>91</v>
      </c>
      <c r="AK55" s="27"/>
    </row>
    <row r="56" spans="1:37" s="26" customFormat="1" ht="14.25" customHeight="1" x14ac:dyDescent="0.45">
      <c r="A56" s="28" t="s">
        <v>41</v>
      </c>
      <c r="B56" s="8" t="s">
        <v>35</v>
      </c>
      <c r="C56" s="8" t="s">
        <v>36</v>
      </c>
      <c r="D56" s="9" t="s">
        <v>197</v>
      </c>
      <c r="E56" s="9">
        <v>43287</v>
      </c>
      <c r="F56" s="10">
        <v>43270</v>
      </c>
      <c r="G56" s="10">
        <v>43270</v>
      </c>
      <c r="H56" s="14">
        <v>43270</v>
      </c>
      <c r="I56" s="54">
        <v>43276</v>
      </c>
      <c r="J56" s="14">
        <f>G56+14</f>
        <v>43284</v>
      </c>
      <c r="K56" s="14">
        <v>43291</v>
      </c>
      <c r="L56" s="9"/>
      <c r="M56" s="10" t="str">
        <f t="shared" si="0"/>
        <v>Jun-18</v>
      </c>
      <c r="N56" s="10" t="str">
        <f t="shared" si="1"/>
        <v>Jul-18</v>
      </c>
      <c r="O56" s="16" t="s">
        <v>198</v>
      </c>
      <c r="P56" s="18" t="s">
        <v>199</v>
      </c>
      <c r="Q56" s="45">
        <v>285.60000000000002</v>
      </c>
      <c r="R56" s="45">
        <v>512.55999999999995</v>
      </c>
      <c r="S56" s="18">
        <f t="shared" si="11"/>
        <v>798.16</v>
      </c>
      <c r="T56" s="64">
        <f t="shared" si="3"/>
        <v>877.976</v>
      </c>
      <c r="U56" s="65"/>
      <c r="V56" s="65"/>
      <c r="W56" s="21">
        <f t="shared" si="4"/>
        <v>0</v>
      </c>
      <c r="X56" s="22">
        <f t="shared" si="5"/>
        <v>798.16</v>
      </c>
      <c r="Y56" s="35">
        <f t="shared" si="6"/>
        <v>1</v>
      </c>
      <c r="Z56" s="20"/>
      <c r="AA56" s="11">
        <f t="shared" ref="AA56:AA79" si="13">G56+14</f>
        <v>43284</v>
      </c>
      <c r="AB56" s="20"/>
      <c r="AC56" s="24" t="s">
        <v>61</v>
      </c>
      <c r="AD56" s="10" t="s">
        <v>47</v>
      </c>
      <c r="AE56" s="10">
        <v>43201</v>
      </c>
      <c r="AF56" s="48"/>
      <c r="AG56" s="10">
        <v>43240</v>
      </c>
      <c r="AH56" s="25">
        <f t="shared" si="12"/>
        <v>39</v>
      </c>
      <c r="AK56" s="27"/>
    </row>
    <row r="57" spans="1:37" s="26" customFormat="1" ht="14.25" customHeight="1" x14ac:dyDescent="0.45">
      <c r="A57" s="28" t="s">
        <v>41</v>
      </c>
      <c r="B57" s="8" t="s">
        <v>35</v>
      </c>
      <c r="C57" s="8" t="s">
        <v>36</v>
      </c>
      <c r="D57" s="9" t="s">
        <v>200</v>
      </c>
      <c r="E57" s="9">
        <v>43242</v>
      </c>
      <c r="F57" s="10">
        <v>43227</v>
      </c>
      <c r="G57" s="10">
        <v>43227</v>
      </c>
      <c r="H57" s="67"/>
      <c r="I57" s="68"/>
      <c r="J57" s="14">
        <v>43237</v>
      </c>
      <c r="K57" s="14">
        <v>43242</v>
      </c>
      <c r="L57" s="9"/>
      <c r="M57" s="10" t="str">
        <f t="shared" si="0"/>
        <v>May-18</v>
      </c>
      <c r="N57" s="10" t="str">
        <f t="shared" si="1"/>
        <v>May-18</v>
      </c>
      <c r="O57" s="16" t="s">
        <v>201</v>
      </c>
      <c r="P57" s="18" t="s">
        <v>81</v>
      </c>
      <c r="Q57" s="45">
        <v>1784.38</v>
      </c>
      <c r="R57" s="73"/>
      <c r="S57" s="18">
        <f t="shared" si="11"/>
        <v>1784.38</v>
      </c>
      <c r="T57" s="64">
        <f t="shared" si="3"/>
        <v>1962.8180000000002</v>
      </c>
      <c r="U57" s="65"/>
      <c r="V57" s="65"/>
      <c r="W57" s="21">
        <f t="shared" si="4"/>
        <v>0</v>
      </c>
      <c r="X57" s="22">
        <f t="shared" si="5"/>
        <v>1784.38</v>
      </c>
      <c r="Y57" s="35">
        <f t="shared" si="6"/>
        <v>1</v>
      </c>
      <c r="Z57" s="20"/>
      <c r="AA57" s="11">
        <f t="shared" si="13"/>
        <v>43241</v>
      </c>
      <c r="AB57" s="20"/>
      <c r="AC57" s="24" t="s">
        <v>73</v>
      </c>
      <c r="AD57" s="10" t="s">
        <v>47</v>
      </c>
      <c r="AE57" s="10">
        <v>43202</v>
      </c>
      <c r="AF57" s="48"/>
      <c r="AG57" s="10">
        <v>43250</v>
      </c>
      <c r="AH57" s="25">
        <f t="shared" si="12"/>
        <v>48</v>
      </c>
      <c r="AK57" s="27"/>
    </row>
    <row r="58" spans="1:37" s="26" customFormat="1" ht="14.25" customHeight="1" x14ac:dyDescent="0.45">
      <c r="A58" s="8" t="s">
        <v>34</v>
      </c>
      <c r="B58" s="8" t="s">
        <v>35</v>
      </c>
      <c r="C58" s="8" t="s">
        <v>36</v>
      </c>
      <c r="D58" s="9" t="s">
        <v>202</v>
      </c>
      <c r="E58" s="9">
        <v>43242</v>
      </c>
      <c r="F58" s="10">
        <v>43223</v>
      </c>
      <c r="G58" s="10">
        <v>43223</v>
      </c>
      <c r="H58" s="67"/>
      <c r="I58" s="68"/>
      <c r="J58" s="14">
        <f>G58+14</f>
        <v>43237</v>
      </c>
      <c r="K58" s="14">
        <v>43242</v>
      </c>
      <c r="L58" s="9"/>
      <c r="M58" s="10" t="str">
        <f t="shared" si="0"/>
        <v>May-18</v>
      </c>
      <c r="N58" s="10" t="str">
        <f t="shared" si="1"/>
        <v>May-18</v>
      </c>
      <c r="O58" s="16" t="s">
        <v>203</v>
      </c>
      <c r="P58" s="18" t="s">
        <v>204</v>
      </c>
      <c r="Q58" s="45">
        <v>3090.06</v>
      </c>
      <c r="R58" s="73"/>
      <c r="S58" s="18">
        <f t="shared" si="11"/>
        <v>3090.06</v>
      </c>
      <c r="T58" s="64">
        <f t="shared" si="3"/>
        <v>3399.0660000000003</v>
      </c>
      <c r="U58" s="65"/>
      <c r="V58" s="65">
        <v>380.18274999999994</v>
      </c>
      <c r="W58" s="21">
        <f t="shared" si="4"/>
        <v>380.18274999999994</v>
      </c>
      <c r="X58" s="22">
        <f t="shared" si="5"/>
        <v>2709.87725</v>
      </c>
      <c r="Y58" s="35">
        <f t="shared" si="6"/>
        <v>0.87696590033850474</v>
      </c>
      <c r="Z58" s="20"/>
      <c r="AA58" s="11">
        <f t="shared" si="13"/>
        <v>43237</v>
      </c>
      <c r="AB58" s="20"/>
      <c r="AC58" s="24" t="s">
        <v>73</v>
      </c>
      <c r="AD58" s="10">
        <v>43200</v>
      </c>
      <c r="AE58" s="10">
        <v>43203</v>
      </c>
      <c r="AF58" s="63">
        <f>AE58-AD58</f>
        <v>3</v>
      </c>
      <c r="AG58" s="10">
        <v>43259</v>
      </c>
      <c r="AH58" s="25">
        <f t="shared" si="12"/>
        <v>56</v>
      </c>
      <c r="AK58" s="27"/>
    </row>
    <row r="59" spans="1:37" s="26" customFormat="1" ht="14.25" customHeight="1" x14ac:dyDescent="0.45">
      <c r="A59" s="8" t="s">
        <v>34</v>
      </c>
      <c r="B59" s="8" t="s">
        <v>100</v>
      </c>
      <c r="C59" s="8" t="s">
        <v>36</v>
      </c>
      <c r="D59" s="9" t="s">
        <v>205</v>
      </c>
      <c r="E59" s="9">
        <v>43244</v>
      </c>
      <c r="F59" s="10">
        <v>43227</v>
      </c>
      <c r="G59" s="10">
        <v>43227</v>
      </c>
      <c r="H59" s="14">
        <v>43228</v>
      </c>
      <c r="I59" s="54">
        <v>43234</v>
      </c>
      <c r="J59" s="14">
        <v>43237</v>
      </c>
      <c r="K59" s="14">
        <v>43244</v>
      </c>
      <c r="L59" s="9"/>
      <c r="M59" s="10" t="str">
        <f t="shared" si="0"/>
        <v>May-18</v>
      </c>
      <c r="N59" s="10" t="str">
        <f t="shared" si="1"/>
        <v>May-18</v>
      </c>
      <c r="O59" s="16" t="s">
        <v>206</v>
      </c>
      <c r="P59" s="18" t="s">
        <v>207</v>
      </c>
      <c r="Q59" s="45">
        <v>6788.96</v>
      </c>
      <c r="R59" s="45">
        <v>3392.1154285714283</v>
      </c>
      <c r="S59" s="18">
        <f t="shared" si="11"/>
        <v>10181.075428571428</v>
      </c>
      <c r="T59" s="64">
        <f t="shared" si="3"/>
        <v>11199.182971428572</v>
      </c>
      <c r="U59" s="65">
        <v>2366.54</v>
      </c>
      <c r="V59" s="65"/>
      <c r="W59" s="21">
        <f t="shared" si="4"/>
        <v>2366.54</v>
      </c>
      <c r="X59" s="22">
        <f t="shared" si="5"/>
        <v>7814.5354285714284</v>
      </c>
      <c r="Y59" s="35">
        <f t="shared" si="6"/>
        <v>0.76755500766071194</v>
      </c>
      <c r="Z59" s="20"/>
      <c r="AA59" s="11">
        <f t="shared" si="13"/>
        <v>43241</v>
      </c>
      <c r="AB59" s="20"/>
      <c r="AC59" s="24" t="s">
        <v>208</v>
      </c>
      <c r="AD59" s="10">
        <v>43200</v>
      </c>
      <c r="AE59" s="10">
        <v>43203</v>
      </c>
      <c r="AF59" s="63">
        <f>AE59-AD59</f>
        <v>3</v>
      </c>
      <c r="AG59" s="10">
        <v>43231</v>
      </c>
      <c r="AH59" s="25">
        <f t="shared" si="12"/>
        <v>28</v>
      </c>
      <c r="AK59" s="27"/>
    </row>
    <row r="60" spans="1:37" s="26" customFormat="1" ht="14.25" customHeight="1" x14ac:dyDescent="0.45">
      <c r="A60" s="8" t="s">
        <v>34</v>
      </c>
      <c r="B60" s="8" t="s">
        <v>35</v>
      </c>
      <c r="C60" s="8" t="s">
        <v>36</v>
      </c>
      <c r="D60" s="9" t="s">
        <v>209</v>
      </c>
      <c r="E60" s="9">
        <v>43265</v>
      </c>
      <c r="F60" s="10">
        <v>43241</v>
      </c>
      <c r="G60" s="11">
        <v>43241</v>
      </c>
      <c r="H60" s="14">
        <v>43242</v>
      </c>
      <c r="I60" s="54">
        <v>43250</v>
      </c>
      <c r="J60" s="14">
        <v>43251</v>
      </c>
      <c r="K60" s="14">
        <v>43258</v>
      </c>
      <c r="L60" s="9"/>
      <c r="M60" s="10" t="str">
        <f t="shared" si="0"/>
        <v>May-18</v>
      </c>
      <c r="N60" s="10" t="str">
        <f t="shared" si="1"/>
        <v>Jun-18</v>
      </c>
      <c r="O60" s="16" t="s">
        <v>210</v>
      </c>
      <c r="P60" s="18" t="s">
        <v>211</v>
      </c>
      <c r="Q60" s="45">
        <v>4057.47</v>
      </c>
      <c r="R60" s="45">
        <v>3402.18</v>
      </c>
      <c r="S60" s="18">
        <f t="shared" si="11"/>
        <v>7459.65</v>
      </c>
      <c r="T60" s="64">
        <f t="shared" si="3"/>
        <v>8205.6149999999998</v>
      </c>
      <c r="U60" s="65"/>
      <c r="V60" s="65">
        <v>1200.0607499999999</v>
      </c>
      <c r="W60" s="21">
        <f t="shared" si="4"/>
        <v>1200.0607499999999</v>
      </c>
      <c r="X60" s="22">
        <f t="shared" si="5"/>
        <v>6259.58925</v>
      </c>
      <c r="Y60" s="35">
        <f t="shared" si="6"/>
        <v>0.83912640003217309</v>
      </c>
      <c r="Z60" s="20"/>
      <c r="AA60" s="11">
        <f t="shared" si="13"/>
        <v>43255</v>
      </c>
      <c r="AB60" s="20"/>
      <c r="AC60" s="24" t="s">
        <v>73</v>
      </c>
      <c r="AD60" s="10">
        <v>43200</v>
      </c>
      <c r="AE60" s="10">
        <v>43203</v>
      </c>
      <c r="AF60" s="63">
        <f>AE60-AD60</f>
        <v>3</v>
      </c>
      <c r="AG60" s="10">
        <v>43231</v>
      </c>
      <c r="AH60" s="25">
        <f t="shared" si="12"/>
        <v>28</v>
      </c>
      <c r="AK60" s="27"/>
    </row>
    <row r="61" spans="1:37" s="26" customFormat="1" ht="14.25" customHeight="1" x14ac:dyDescent="0.45">
      <c r="A61" s="28" t="s">
        <v>41</v>
      </c>
      <c r="B61" s="8" t="s">
        <v>35</v>
      </c>
      <c r="C61" s="8" t="s">
        <v>36</v>
      </c>
      <c r="D61" s="9" t="s">
        <v>212</v>
      </c>
      <c r="E61" s="9">
        <v>43287</v>
      </c>
      <c r="F61" s="10">
        <v>43269</v>
      </c>
      <c r="G61" s="10">
        <v>43269</v>
      </c>
      <c r="H61" s="14">
        <v>43269</v>
      </c>
      <c r="I61" s="54">
        <v>43283</v>
      </c>
      <c r="J61" s="14">
        <f>G61+14</f>
        <v>43283</v>
      </c>
      <c r="K61" s="14">
        <v>43291</v>
      </c>
      <c r="L61" s="9"/>
      <c r="M61" s="10" t="str">
        <f t="shared" si="0"/>
        <v>Jun-18</v>
      </c>
      <c r="N61" s="10" t="str">
        <f t="shared" si="1"/>
        <v>Jul-18</v>
      </c>
      <c r="O61" s="16" t="s">
        <v>213</v>
      </c>
      <c r="P61" s="18" t="s">
        <v>54</v>
      </c>
      <c r="Q61" s="45">
        <v>1382.92</v>
      </c>
      <c r="R61" s="45">
        <v>5222.21</v>
      </c>
      <c r="S61" s="18">
        <f t="shared" si="11"/>
        <v>6605.13</v>
      </c>
      <c r="T61" s="64">
        <f t="shared" si="3"/>
        <v>7265.6430000000009</v>
      </c>
      <c r="U61" s="65">
        <v>3074</v>
      </c>
      <c r="V61" s="65"/>
      <c r="W61" s="21">
        <f t="shared" si="4"/>
        <v>3074</v>
      </c>
      <c r="X61" s="22">
        <f t="shared" si="5"/>
        <v>3531.13</v>
      </c>
      <c r="Y61" s="35">
        <f t="shared" si="6"/>
        <v>0.53460416373334063</v>
      </c>
      <c r="Z61" s="20"/>
      <c r="AA61" s="11">
        <f t="shared" si="13"/>
        <v>43283</v>
      </c>
      <c r="AB61" s="20"/>
      <c r="AC61" s="24" t="s">
        <v>73</v>
      </c>
      <c r="AD61" s="10" t="s">
        <v>47</v>
      </c>
      <c r="AE61" s="10">
        <v>43206</v>
      </c>
      <c r="AF61" s="48"/>
      <c r="AG61" s="10">
        <v>43267</v>
      </c>
      <c r="AH61" s="25">
        <f t="shared" si="12"/>
        <v>61</v>
      </c>
      <c r="AK61" s="27"/>
    </row>
    <row r="62" spans="1:37" s="26" customFormat="1" ht="14.25" customHeight="1" x14ac:dyDescent="0.45">
      <c r="A62" s="28" t="s">
        <v>41</v>
      </c>
      <c r="B62" s="8" t="s">
        <v>35</v>
      </c>
      <c r="C62" s="8" t="s">
        <v>36</v>
      </c>
      <c r="D62" s="9" t="s">
        <v>214</v>
      </c>
      <c r="E62" s="9">
        <v>43369</v>
      </c>
      <c r="F62" s="10">
        <v>43333</v>
      </c>
      <c r="G62" s="10">
        <v>43333</v>
      </c>
      <c r="H62" s="15">
        <v>43334</v>
      </c>
      <c r="I62" s="49">
        <v>43362</v>
      </c>
      <c r="J62" s="14">
        <f>G62+14</f>
        <v>43347</v>
      </c>
      <c r="K62" s="15">
        <v>43370</v>
      </c>
      <c r="L62" s="9"/>
      <c r="M62" s="10" t="str">
        <f t="shared" si="0"/>
        <v>Aug-18</v>
      </c>
      <c r="N62" s="10" t="str">
        <f t="shared" si="1"/>
        <v>Sep-18</v>
      </c>
      <c r="O62" s="16" t="s">
        <v>215</v>
      </c>
      <c r="P62" s="18" t="s">
        <v>98</v>
      </c>
      <c r="Q62" s="45">
        <v>1061.6500000000001</v>
      </c>
      <c r="R62" s="45">
        <v>5193.8900000000003</v>
      </c>
      <c r="S62" s="18">
        <f t="shared" si="11"/>
        <v>6255.5400000000009</v>
      </c>
      <c r="T62" s="64">
        <f t="shared" si="3"/>
        <v>6881.0940000000019</v>
      </c>
      <c r="U62" s="65">
        <v>477.28</v>
      </c>
      <c r="V62" s="65"/>
      <c r="W62" s="21">
        <f t="shared" si="4"/>
        <v>477.28</v>
      </c>
      <c r="X62" s="22">
        <f t="shared" si="5"/>
        <v>5778.2600000000011</v>
      </c>
      <c r="Y62" s="35">
        <f t="shared" si="6"/>
        <v>0.92370282981165497</v>
      </c>
      <c r="Z62" s="20"/>
      <c r="AA62" s="11">
        <f t="shared" si="13"/>
        <v>43347</v>
      </c>
      <c r="AB62" s="20"/>
      <c r="AC62" s="24" t="s">
        <v>73</v>
      </c>
      <c r="AD62" s="10" t="s">
        <v>47</v>
      </c>
      <c r="AE62" s="10">
        <v>43206</v>
      </c>
      <c r="AF62" s="48"/>
      <c r="AG62" s="10">
        <v>43250</v>
      </c>
      <c r="AH62" s="25">
        <f t="shared" si="12"/>
        <v>44</v>
      </c>
      <c r="AK62" s="27"/>
    </row>
    <row r="63" spans="1:37" s="26" customFormat="1" ht="14.25" customHeight="1" x14ac:dyDescent="0.45">
      <c r="A63" s="28" t="s">
        <v>41</v>
      </c>
      <c r="B63" s="8" t="s">
        <v>35</v>
      </c>
      <c r="C63" s="8" t="s">
        <v>36</v>
      </c>
      <c r="D63" s="9" t="s">
        <v>216</v>
      </c>
      <c r="E63" s="9">
        <v>43265</v>
      </c>
      <c r="F63" s="10">
        <v>43224</v>
      </c>
      <c r="G63" s="10">
        <v>43227</v>
      </c>
      <c r="H63" s="14">
        <v>43228</v>
      </c>
      <c r="I63" s="54">
        <v>43229</v>
      </c>
      <c r="J63" s="14">
        <v>43237</v>
      </c>
      <c r="K63" s="15">
        <v>43258</v>
      </c>
      <c r="L63" s="9"/>
      <c r="M63" s="10" t="str">
        <f t="shared" si="0"/>
        <v>May-18</v>
      </c>
      <c r="N63" s="10" t="str">
        <f t="shared" si="1"/>
        <v>Jun-18</v>
      </c>
      <c r="O63" s="16" t="s">
        <v>217</v>
      </c>
      <c r="P63" s="18" t="s">
        <v>175</v>
      </c>
      <c r="Q63" s="45">
        <v>13978.73</v>
      </c>
      <c r="R63" s="45">
        <v>-6944.3819999999796</v>
      </c>
      <c r="S63" s="18">
        <f t="shared" si="11"/>
        <v>7034.34800000002</v>
      </c>
      <c r="T63" s="64">
        <f t="shared" si="3"/>
        <v>7737.7828000000227</v>
      </c>
      <c r="U63" s="20">
        <v>3157.04</v>
      </c>
      <c r="V63" s="65"/>
      <c r="W63" s="21">
        <f t="shared" si="4"/>
        <v>3157.04</v>
      </c>
      <c r="X63" s="22">
        <f t="shared" si="5"/>
        <v>3877.30800000002</v>
      </c>
      <c r="Y63" s="35">
        <f t="shared" si="6"/>
        <v>0.55119650037217505</v>
      </c>
      <c r="Z63" s="20"/>
      <c r="AA63" s="11">
        <f t="shared" si="13"/>
        <v>43241</v>
      </c>
      <c r="AB63" s="20"/>
      <c r="AC63" s="24" t="s">
        <v>73</v>
      </c>
      <c r="AD63" s="10" t="s">
        <v>47</v>
      </c>
      <c r="AE63" s="10">
        <v>43206</v>
      </c>
      <c r="AF63" s="48"/>
      <c r="AG63" s="10">
        <v>43237</v>
      </c>
      <c r="AH63" s="25">
        <f t="shared" si="12"/>
        <v>31</v>
      </c>
      <c r="AK63" s="27"/>
    </row>
    <row r="64" spans="1:37" s="26" customFormat="1" ht="14.25" customHeight="1" x14ac:dyDescent="0.45">
      <c r="A64" s="8" t="s">
        <v>34</v>
      </c>
      <c r="B64" s="8" t="s">
        <v>35</v>
      </c>
      <c r="C64" s="8" t="s">
        <v>36</v>
      </c>
      <c r="D64" s="9" t="s">
        <v>218</v>
      </c>
      <c r="E64" s="9">
        <v>43271</v>
      </c>
      <c r="F64" s="10">
        <v>43238</v>
      </c>
      <c r="G64" s="10">
        <v>43241</v>
      </c>
      <c r="H64" s="15">
        <v>43242</v>
      </c>
      <c r="I64" s="49">
        <v>43265</v>
      </c>
      <c r="J64" s="14">
        <v>43251</v>
      </c>
      <c r="K64" s="15">
        <v>43270</v>
      </c>
      <c r="L64" s="9"/>
      <c r="M64" s="10" t="str">
        <f t="shared" si="0"/>
        <v>May-18</v>
      </c>
      <c r="N64" s="10" t="str">
        <f t="shared" si="1"/>
        <v>Jun-18</v>
      </c>
      <c r="O64" s="50" t="s">
        <v>219</v>
      </c>
      <c r="P64" s="50" t="s">
        <v>220</v>
      </c>
      <c r="Q64" s="45">
        <v>2772.4</v>
      </c>
      <c r="R64" s="45">
        <v>16972.475000000002</v>
      </c>
      <c r="S64" s="18">
        <f t="shared" si="11"/>
        <v>19744.875000000004</v>
      </c>
      <c r="T64" s="64">
        <f t="shared" si="3"/>
        <v>21719.362500000007</v>
      </c>
      <c r="U64" s="65">
        <v>13346.45</v>
      </c>
      <c r="V64" s="65"/>
      <c r="W64" s="21">
        <f t="shared" si="4"/>
        <v>13346.45</v>
      </c>
      <c r="X64" s="22">
        <f t="shared" si="5"/>
        <v>6398.4250000000029</v>
      </c>
      <c r="Y64" s="35">
        <f t="shared" si="6"/>
        <v>0.32405497629131619</v>
      </c>
      <c r="Z64" s="20"/>
      <c r="AA64" s="11">
        <f t="shared" si="13"/>
        <v>43255</v>
      </c>
      <c r="AB64" s="20"/>
      <c r="AC64" s="24" t="s">
        <v>73</v>
      </c>
      <c r="AD64" s="10" t="s">
        <v>47</v>
      </c>
      <c r="AE64" s="10">
        <v>43206</v>
      </c>
      <c r="AF64" s="48"/>
      <c r="AG64" s="10">
        <v>43229</v>
      </c>
      <c r="AH64" s="25">
        <f t="shared" si="12"/>
        <v>23</v>
      </c>
      <c r="AK64" s="27"/>
    </row>
    <row r="65" spans="1:37" s="26" customFormat="1" ht="14.25" customHeight="1" x14ac:dyDescent="0.45">
      <c r="A65" s="8" t="s">
        <v>34</v>
      </c>
      <c r="B65" s="8" t="s">
        <v>35</v>
      </c>
      <c r="C65" s="8" t="s">
        <v>36</v>
      </c>
      <c r="D65" s="9" t="s">
        <v>221</v>
      </c>
      <c r="E65" s="9">
        <v>43242</v>
      </c>
      <c r="F65" s="10">
        <v>43227</v>
      </c>
      <c r="G65" s="10">
        <v>43227</v>
      </c>
      <c r="H65" s="67"/>
      <c r="I65" s="68"/>
      <c r="J65" s="14">
        <v>43237</v>
      </c>
      <c r="K65" s="14">
        <v>43242</v>
      </c>
      <c r="L65" s="9"/>
      <c r="M65" s="10" t="str">
        <f t="shared" si="0"/>
        <v>May-18</v>
      </c>
      <c r="N65" s="10" t="str">
        <f t="shared" si="1"/>
        <v>May-18</v>
      </c>
      <c r="O65" s="16" t="s">
        <v>222</v>
      </c>
      <c r="P65" s="18" t="s">
        <v>223</v>
      </c>
      <c r="Q65" s="45">
        <v>789.43</v>
      </c>
      <c r="R65" s="82"/>
      <c r="S65" s="18">
        <f t="shared" si="11"/>
        <v>789.43</v>
      </c>
      <c r="T65" s="64">
        <f t="shared" si="3"/>
        <v>868.37300000000005</v>
      </c>
      <c r="U65" s="65"/>
      <c r="V65" s="65">
        <v>380.18274999999994</v>
      </c>
      <c r="W65" s="21">
        <f t="shared" si="4"/>
        <v>380.18274999999994</v>
      </c>
      <c r="X65" s="22">
        <f t="shared" si="5"/>
        <v>409.24725000000001</v>
      </c>
      <c r="Y65" s="35">
        <f t="shared" si="6"/>
        <v>0.51840853527228514</v>
      </c>
      <c r="Z65" s="20"/>
      <c r="AA65" s="11">
        <f t="shared" si="13"/>
        <v>43241</v>
      </c>
      <c r="AB65" s="20"/>
      <c r="AC65" s="24" t="s">
        <v>73</v>
      </c>
      <c r="AD65" s="10">
        <v>43201</v>
      </c>
      <c r="AE65" s="10">
        <v>43208</v>
      </c>
      <c r="AF65" s="63">
        <f>AE65-AD65</f>
        <v>7</v>
      </c>
      <c r="AG65" s="10">
        <v>43231</v>
      </c>
      <c r="AH65" s="25">
        <f t="shared" si="12"/>
        <v>23</v>
      </c>
      <c r="AK65" s="27"/>
    </row>
    <row r="66" spans="1:37" s="26" customFormat="1" ht="14.25" customHeight="1" x14ac:dyDescent="0.45">
      <c r="A66" s="8" t="s">
        <v>34</v>
      </c>
      <c r="B66" s="8" t="s">
        <v>35</v>
      </c>
      <c r="C66" s="8" t="s">
        <v>36</v>
      </c>
      <c r="D66" s="9" t="s">
        <v>224</v>
      </c>
      <c r="E66" s="9">
        <v>43242</v>
      </c>
      <c r="F66" s="10">
        <v>43223</v>
      </c>
      <c r="G66" s="10">
        <v>43223</v>
      </c>
      <c r="H66" s="67"/>
      <c r="I66" s="68"/>
      <c r="J66" s="14">
        <v>43236</v>
      </c>
      <c r="K66" s="14">
        <v>43242</v>
      </c>
      <c r="L66" s="9"/>
      <c r="M66" s="10" t="str">
        <f t="shared" ref="M66:M129" si="14">TEXT(G66,"mmm-yy")</f>
        <v>May-18</v>
      </c>
      <c r="N66" s="10" t="str">
        <f t="shared" ref="N66:N129" si="15">TEXT(K66,"mmm-yy")</f>
        <v>May-18</v>
      </c>
      <c r="O66" s="16" t="s">
        <v>225</v>
      </c>
      <c r="P66" s="18" t="s">
        <v>81</v>
      </c>
      <c r="Q66" s="45">
        <v>7979.71</v>
      </c>
      <c r="R66" s="73"/>
      <c r="S66" s="18">
        <f t="shared" ref="S66:S72" si="16">SUM(Q66:R66)</f>
        <v>7979.71</v>
      </c>
      <c r="T66" s="64">
        <f t="shared" ref="T66:T129" si="17">S66*1.1</f>
        <v>8777.6810000000005</v>
      </c>
      <c r="U66" s="65">
        <v>1203.8</v>
      </c>
      <c r="V66" s="65"/>
      <c r="W66" s="21">
        <f t="shared" ref="W66:W129" si="18">SUM(U66:V66)</f>
        <v>1203.8</v>
      </c>
      <c r="X66" s="22">
        <f t="shared" ref="X66:X129" si="19">S66-W66</f>
        <v>6775.91</v>
      </c>
      <c r="Y66" s="35">
        <f t="shared" ref="Y66:Y129" si="20">X66/S66</f>
        <v>0.84914238737999248</v>
      </c>
      <c r="Z66" s="20"/>
      <c r="AA66" s="11">
        <f t="shared" si="13"/>
        <v>43237</v>
      </c>
      <c r="AB66" s="20"/>
      <c r="AC66" s="24" t="s">
        <v>73</v>
      </c>
      <c r="AD66" s="10">
        <v>43201</v>
      </c>
      <c r="AE66" s="10">
        <v>43208</v>
      </c>
      <c r="AF66" s="63">
        <f>AE66-AD66</f>
        <v>7</v>
      </c>
      <c r="AG66" s="10">
        <v>43235</v>
      </c>
      <c r="AH66" s="25">
        <f t="shared" si="12"/>
        <v>27</v>
      </c>
      <c r="AK66" s="27"/>
    </row>
    <row r="67" spans="1:37" s="26" customFormat="1" ht="14.25" customHeight="1" x14ac:dyDescent="0.45">
      <c r="A67" s="28" t="s">
        <v>41</v>
      </c>
      <c r="B67" s="8" t="s">
        <v>35</v>
      </c>
      <c r="C67" s="8" t="s">
        <v>36</v>
      </c>
      <c r="D67" s="9" t="s">
        <v>226</v>
      </c>
      <c r="E67" s="9">
        <v>43287</v>
      </c>
      <c r="F67" s="10">
        <v>43271</v>
      </c>
      <c r="G67" s="10">
        <v>43271</v>
      </c>
      <c r="H67" s="14">
        <v>43273</v>
      </c>
      <c r="I67" s="54">
        <v>43267</v>
      </c>
      <c r="J67" s="14">
        <f>G67+14</f>
        <v>43285</v>
      </c>
      <c r="K67" s="14">
        <v>43291</v>
      </c>
      <c r="L67" s="9"/>
      <c r="M67" s="10" t="str">
        <f t="shared" si="14"/>
        <v>Jun-18</v>
      </c>
      <c r="N67" s="10" t="str">
        <f t="shared" si="15"/>
        <v>Jul-18</v>
      </c>
      <c r="O67" s="16" t="s">
        <v>227</v>
      </c>
      <c r="P67" s="18" t="s">
        <v>175</v>
      </c>
      <c r="Q67" s="45">
        <v>1747.53</v>
      </c>
      <c r="R67" s="45">
        <v>1318.32</v>
      </c>
      <c r="S67" s="18">
        <f t="shared" si="16"/>
        <v>3065.85</v>
      </c>
      <c r="T67" s="64">
        <f t="shared" si="17"/>
        <v>3372.4349999999999</v>
      </c>
      <c r="U67" s="65">
        <v>490.78</v>
      </c>
      <c r="V67" s="65"/>
      <c r="W67" s="21">
        <f t="shared" si="18"/>
        <v>490.78</v>
      </c>
      <c r="X67" s="22">
        <f t="shared" si="19"/>
        <v>2575.0699999999997</v>
      </c>
      <c r="Y67" s="35">
        <f t="shared" si="20"/>
        <v>0.83992041358840119</v>
      </c>
      <c r="Z67" s="20"/>
      <c r="AA67" s="11">
        <f t="shared" si="13"/>
        <v>43285</v>
      </c>
      <c r="AB67" s="20"/>
      <c r="AC67" s="24" t="s">
        <v>73</v>
      </c>
      <c r="AD67" s="10" t="s">
        <v>47</v>
      </c>
      <c r="AE67" s="10">
        <v>43208</v>
      </c>
      <c r="AF67" s="48"/>
      <c r="AG67" s="10">
        <v>43259</v>
      </c>
      <c r="AH67" s="25">
        <f t="shared" si="12"/>
        <v>51</v>
      </c>
      <c r="AK67" s="27"/>
    </row>
    <row r="68" spans="1:37" s="26" customFormat="1" ht="14.25" customHeight="1" x14ac:dyDescent="0.45">
      <c r="A68" s="8" t="s">
        <v>34</v>
      </c>
      <c r="B68" s="8" t="s">
        <v>35</v>
      </c>
      <c r="C68" s="8" t="s">
        <v>36</v>
      </c>
      <c r="D68" s="9" t="s">
        <v>228</v>
      </c>
      <c r="E68" s="9">
        <v>43439</v>
      </c>
      <c r="F68" s="10">
        <v>43391</v>
      </c>
      <c r="G68" s="10">
        <v>43391</v>
      </c>
      <c r="H68" s="15">
        <v>43397</v>
      </c>
      <c r="I68" s="49">
        <v>43431</v>
      </c>
      <c r="J68" s="14">
        <f>G68+14</f>
        <v>43405</v>
      </c>
      <c r="K68" s="14">
        <v>43438</v>
      </c>
      <c r="L68" s="9"/>
      <c r="M68" s="10" t="str">
        <f t="shared" si="14"/>
        <v>Oct-18</v>
      </c>
      <c r="N68" s="10" t="str">
        <f t="shared" si="15"/>
        <v>Dec-18</v>
      </c>
      <c r="O68" s="16" t="s">
        <v>229</v>
      </c>
      <c r="P68" s="18" t="s">
        <v>199</v>
      </c>
      <c r="Q68" s="45">
        <v>41413.659642857143</v>
      </c>
      <c r="R68" s="45">
        <v>-158.47999999999999</v>
      </c>
      <c r="S68" s="18">
        <f t="shared" si="16"/>
        <v>41255.17964285714</v>
      </c>
      <c r="T68" s="64">
        <f t="shared" si="17"/>
        <v>45380.697607142858</v>
      </c>
      <c r="U68" s="65">
        <v>23620.579999999998</v>
      </c>
      <c r="V68" s="65">
        <v>413.19</v>
      </c>
      <c r="W68" s="21">
        <f t="shared" si="18"/>
        <v>24033.769999999997</v>
      </c>
      <c r="X68" s="22">
        <f t="shared" si="19"/>
        <v>17221.409642857143</v>
      </c>
      <c r="Y68" s="35">
        <f t="shared" si="20"/>
        <v>0.41743630234897866</v>
      </c>
      <c r="Z68" s="20"/>
      <c r="AA68" s="11">
        <f t="shared" si="13"/>
        <v>43405</v>
      </c>
      <c r="AB68" s="20"/>
      <c r="AC68" s="24" t="s">
        <v>73</v>
      </c>
      <c r="AD68" s="10">
        <v>43200</v>
      </c>
      <c r="AE68" s="10">
        <v>43209</v>
      </c>
      <c r="AF68" s="63">
        <f>AE68-AD68</f>
        <v>9</v>
      </c>
      <c r="AG68" s="10">
        <v>43231</v>
      </c>
      <c r="AH68" s="25">
        <f t="shared" si="12"/>
        <v>22</v>
      </c>
      <c r="AK68" s="27"/>
    </row>
    <row r="69" spans="1:37" s="26" customFormat="1" ht="14.25" customHeight="1" x14ac:dyDescent="0.45">
      <c r="A69" s="28" t="s">
        <v>41</v>
      </c>
      <c r="B69" s="8" t="s">
        <v>35</v>
      </c>
      <c r="C69" s="8" t="s">
        <v>36</v>
      </c>
      <c r="D69" s="9" t="s">
        <v>230</v>
      </c>
      <c r="E69" s="9">
        <v>43369</v>
      </c>
      <c r="F69" s="10">
        <v>43315</v>
      </c>
      <c r="G69" s="10">
        <v>43315</v>
      </c>
      <c r="H69" s="44">
        <v>43322</v>
      </c>
      <c r="I69" s="44">
        <v>43361</v>
      </c>
      <c r="J69" s="14">
        <f>G69+14</f>
        <v>43329</v>
      </c>
      <c r="K69" s="14">
        <v>43370</v>
      </c>
      <c r="L69" s="9"/>
      <c r="M69" s="10" t="str">
        <f t="shared" si="14"/>
        <v>Aug-18</v>
      </c>
      <c r="N69" s="10" t="str">
        <f t="shared" si="15"/>
        <v>Sep-18</v>
      </c>
      <c r="O69" s="16" t="s">
        <v>231</v>
      </c>
      <c r="P69" s="18" t="s">
        <v>232</v>
      </c>
      <c r="Q69" s="45">
        <v>585.25</v>
      </c>
      <c r="R69" s="45">
        <v>5396.8499999999995</v>
      </c>
      <c r="S69" s="18">
        <f t="shared" si="16"/>
        <v>5982.0999999999995</v>
      </c>
      <c r="T69" s="64">
        <f t="shared" si="17"/>
        <v>6580.3099999999995</v>
      </c>
      <c r="U69" s="65">
        <v>3140.46</v>
      </c>
      <c r="V69" s="65"/>
      <c r="W69" s="21">
        <f t="shared" si="18"/>
        <v>3140.46</v>
      </c>
      <c r="X69" s="46">
        <f t="shared" si="19"/>
        <v>2841.6399999999994</v>
      </c>
      <c r="Y69" s="35">
        <f t="shared" si="20"/>
        <v>0.47502382106618074</v>
      </c>
      <c r="Z69" s="20"/>
      <c r="AA69" s="11">
        <f t="shared" si="13"/>
        <v>43329</v>
      </c>
      <c r="AB69" s="20"/>
      <c r="AC69" s="24" t="s">
        <v>73</v>
      </c>
      <c r="AD69" s="10" t="s">
        <v>47</v>
      </c>
      <c r="AE69" s="10">
        <v>43209</v>
      </c>
      <c r="AF69" s="48"/>
      <c r="AG69" s="10">
        <v>43281</v>
      </c>
      <c r="AH69" s="25">
        <f t="shared" si="12"/>
        <v>72</v>
      </c>
      <c r="AK69" s="27"/>
    </row>
    <row r="70" spans="1:37" s="26" customFormat="1" ht="14.25" customHeight="1" x14ac:dyDescent="0.45">
      <c r="A70" s="28" t="s">
        <v>41</v>
      </c>
      <c r="B70" s="8" t="s">
        <v>35</v>
      </c>
      <c r="C70" s="8" t="s">
        <v>36</v>
      </c>
      <c r="D70" s="9" t="s">
        <v>233</v>
      </c>
      <c r="E70" s="9">
        <v>43242</v>
      </c>
      <c r="F70" s="10">
        <v>43224</v>
      </c>
      <c r="G70" s="10">
        <v>43224</v>
      </c>
      <c r="H70" s="14">
        <v>43230</v>
      </c>
      <c r="I70" s="54">
        <v>43234</v>
      </c>
      <c r="J70" s="14">
        <f>G70+14</f>
        <v>43238</v>
      </c>
      <c r="K70" s="14">
        <v>43242</v>
      </c>
      <c r="L70" s="9"/>
      <c r="M70" s="10" t="str">
        <f t="shared" si="14"/>
        <v>May-18</v>
      </c>
      <c r="N70" s="10" t="str">
        <f t="shared" si="15"/>
        <v>May-18</v>
      </c>
      <c r="O70" s="16" t="s">
        <v>234</v>
      </c>
      <c r="P70" s="18" t="s">
        <v>235</v>
      </c>
      <c r="Q70" s="45">
        <v>410.89</v>
      </c>
      <c r="R70" s="45">
        <v>4035.277</v>
      </c>
      <c r="S70" s="18">
        <f t="shared" si="16"/>
        <v>4446.1670000000004</v>
      </c>
      <c r="T70" s="64">
        <f t="shared" si="17"/>
        <v>4890.7837000000009</v>
      </c>
      <c r="U70" s="65"/>
      <c r="V70" s="65"/>
      <c r="W70" s="21">
        <f t="shared" si="18"/>
        <v>0</v>
      </c>
      <c r="X70" s="22">
        <f t="shared" si="19"/>
        <v>4446.1670000000004</v>
      </c>
      <c r="Y70" s="35">
        <f t="shared" si="20"/>
        <v>1</v>
      </c>
      <c r="Z70" s="20"/>
      <c r="AA70" s="11">
        <f t="shared" si="13"/>
        <v>43238</v>
      </c>
      <c r="AB70" s="20"/>
      <c r="AC70" s="24" t="s">
        <v>73</v>
      </c>
      <c r="AD70" s="10" t="s">
        <v>47</v>
      </c>
      <c r="AE70" s="10">
        <v>43209</v>
      </c>
      <c r="AF70" s="48"/>
      <c r="AG70" s="10">
        <v>43258</v>
      </c>
      <c r="AH70" s="25">
        <f t="shared" si="12"/>
        <v>49</v>
      </c>
      <c r="AK70" s="27"/>
    </row>
    <row r="71" spans="1:37" s="26" customFormat="1" ht="14.25" customHeight="1" x14ac:dyDescent="0.45">
      <c r="A71" s="28" t="s">
        <v>41</v>
      </c>
      <c r="B71" s="8" t="s">
        <v>35</v>
      </c>
      <c r="C71" s="8" t="s">
        <v>36</v>
      </c>
      <c r="D71" s="9" t="s">
        <v>236</v>
      </c>
      <c r="E71" s="9">
        <v>43257</v>
      </c>
      <c r="F71" s="10">
        <v>43234</v>
      </c>
      <c r="G71" s="10">
        <v>43234</v>
      </c>
      <c r="H71" s="14">
        <v>43238</v>
      </c>
      <c r="I71" s="54">
        <v>43250</v>
      </c>
      <c r="J71" s="14">
        <v>43245</v>
      </c>
      <c r="K71" s="14">
        <v>43256</v>
      </c>
      <c r="L71" s="9"/>
      <c r="M71" s="10" t="str">
        <f t="shared" si="14"/>
        <v>May-18</v>
      </c>
      <c r="N71" s="10" t="str">
        <f t="shared" si="15"/>
        <v>Jun-18</v>
      </c>
      <c r="O71" s="16" t="s">
        <v>237</v>
      </c>
      <c r="P71" s="18" t="s">
        <v>238</v>
      </c>
      <c r="Q71" s="45">
        <v>1202.46</v>
      </c>
      <c r="R71" s="45">
        <v>3353.9829999999997</v>
      </c>
      <c r="S71" s="18">
        <f t="shared" si="16"/>
        <v>4556.4429999999993</v>
      </c>
      <c r="T71" s="64">
        <f t="shared" si="17"/>
        <v>5012.0872999999992</v>
      </c>
      <c r="U71" s="65">
        <v>1225.45</v>
      </c>
      <c r="V71" s="65"/>
      <c r="W71" s="21">
        <f t="shared" si="18"/>
        <v>1225.45</v>
      </c>
      <c r="X71" s="22">
        <f t="shared" si="19"/>
        <v>3330.9929999999995</v>
      </c>
      <c r="Y71" s="35">
        <f t="shared" si="20"/>
        <v>0.73105117303124389</v>
      </c>
      <c r="Z71" s="20"/>
      <c r="AA71" s="11">
        <f t="shared" si="13"/>
        <v>43248</v>
      </c>
      <c r="AB71" s="20"/>
      <c r="AC71" s="24" t="s">
        <v>73</v>
      </c>
      <c r="AD71" s="10" t="s">
        <v>47</v>
      </c>
      <c r="AE71" s="10">
        <v>43210</v>
      </c>
      <c r="AF71" s="48"/>
      <c r="AG71" s="10">
        <v>43280</v>
      </c>
      <c r="AH71" s="25">
        <f t="shared" si="12"/>
        <v>70</v>
      </c>
      <c r="AK71" s="27"/>
    </row>
    <row r="72" spans="1:37" s="26" customFormat="1" ht="14.25" customHeight="1" x14ac:dyDescent="0.45">
      <c r="A72" s="28" t="s">
        <v>41</v>
      </c>
      <c r="B72" s="8" t="s">
        <v>35</v>
      </c>
      <c r="C72" s="8" t="s">
        <v>36</v>
      </c>
      <c r="D72" s="9" t="s">
        <v>239</v>
      </c>
      <c r="E72" s="9">
        <v>43360</v>
      </c>
      <c r="F72" s="10">
        <v>43336</v>
      </c>
      <c r="G72" s="10">
        <v>43336</v>
      </c>
      <c r="H72" s="83">
        <v>43338</v>
      </c>
      <c r="I72" s="83">
        <v>43348</v>
      </c>
      <c r="J72" s="14">
        <f>G72+14</f>
        <v>43350</v>
      </c>
      <c r="K72" s="14">
        <f>J72+14</f>
        <v>43364</v>
      </c>
      <c r="L72" s="9"/>
      <c r="M72" s="10" t="str">
        <f t="shared" si="14"/>
        <v>Aug-18</v>
      </c>
      <c r="N72" s="10" t="str">
        <f t="shared" si="15"/>
        <v>Sep-18</v>
      </c>
      <c r="O72" s="16" t="s">
        <v>240</v>
      </c>
      <c r="P72" s="18" t="s">
        <v>39</v>
      </c>
      <c r="Q72" s="45">
        <v>973.82</v>
      </c>
      <c r="R72" s="45">
        <v>10347.61</v>
      </c>
      <c r="S72" s="18">
        <f t="shared" si="16"/>
        <v>11321.43</v>
      </c>
      <c r="T72" s="64">
        <f t="shared" si="17"/>
        <v>12453.573000000002</v>
      </c>
      <c r="U72" s="65">
        <v>7081.2199999999993</v>
      </c>
      <c r="V72" s="84"/>
      <c r="W72" s="21">
        <f t="shared" si="18"/>
        <v>7081.2199999999993</v>
      </c>
      <c r="X72" s="46">
        <f t="shared" si="19"/>
        <v>4240.2100000000009</v>
      </c>
      <c r="Y72" s="35">
        <f t="shared" si="20"/>
        <v>0.37452954264611454</v>
      </c>
      <c r="Z72" s="20"/>
      <c r="AA72" s="11">
        <f t="shared" si="13"/>
        <v>43350</v>
      </c>
      <c r="AB72" s="20"/>
      <c r="AC72" s="24" t="s">
        <v>73</v>
      </c>
      <c r="AD72" s="10" t="s">
        <v>47</v>
      </c>
      <c r="AE72" s="10">
        <v>43210</v>
      </c>
      <c r="AF72" s="48"/>
      <c r="AG72" s="10">
        <v>43294</v>
      </c>
      <c r="AH72" s="25">
        <f t="shared" si="12"/>
        <v>84</v>
      </c>
      <c r="AK72" s="27"/>
    </row>
    <row r="73" spans="1:37" s="26" customFormat="1" ht="14.25" customHeight="1" x14ac:dyDescent="0.45">
      <c r="A73" s="28" t="s">
        <v>41</v>
      </c>
      <c r="B73" s="8" t="s">
        <v>35</v>
      </c>
      <c r="C73" s="8" t="s">
        <v>36</v>
      </c>
      <c r="D73" s="9" t="s">
        <v>241</v>
      </c>
      <c r="E73" s="9">
        <v>43439</v>
      </c>
      <c r="F73" s="10">
        <v>43363</v>
      </c>
      <c r="G73" s="10">
        <v>43363</v>
      </c>
      <c r="H73" s="15">
        <v>43396</v>
      </c>
      <c r="I73" s="49">
        <v>43431</v>
      </c>
      <c r="J73" s="77">
        <v>43378</v>
      </c>
      <c r="K73" s="14">
        <v>43438</v>
      </c>
      <c r="L73" s="9"/>
      <c r="M73" s="10" t="str">
        <f t="shared" si="14"/>
        <v>Sep-18</v>
      </c>
      <c r="N73" s="10" t="str">
        <f t="shared" si="15"/>
        <v>Dec-18</v>
      </c>
      <c r="O73" s="16" t="s">
        <v>242</v>
      </c>
      <c r="P73" s="18" t="s">
        <v>235</v>
      </c>
      <c r="Q73" s="45">
        <v>5790.01</v>
      </c>
      <c r="R73" s="45">
        <v>4568.29</v>
      </c>
      <c r="S73" s="18">
        <f>SUBTOTAL(9,Q73:R73)</f>
        <v>10358.299999999999</v>
      </c>
      <c r="T73" s="64">
        <f t="shared" si="17"/>
        <v>11394.130000000001</v>
      </c>
      <c r="U73" s="65">
        <v>6099.75</v>
      </c>
      <c r="V73" s="65"/>
      <c r="W73" s="21">
        <f t="shared" si="18"/>
        <v>6099.75</v>
      </c>
      <c r="X73" s="22">
        <f t="shared" si="19"/>
        <v>4258.5499999999993</v>
      </c>
      <c r="Y73" s="35">
        <f t="shared" si="20"/>
        <v>0.41112441230703878</v>
      </c>
      <c r="Z73" s="20"/>
      <c r="AA73" s="11">
        <f t="shared" si="13"/>
        <v>43377</v>
      </c>
      <c r="AB73" s="20"/>
      <c r="AC73" s="24" t="s">
        <v>73</v>
      </c>
      <c r="AD73" s="10" t="s">
        <v>47</v>
      </c>
      <c r="AE73" s="10">
        <v>43213</v>
      </c>
      <c r="AF73" s="48"/>
      <c r="AG73" s="10">
        <v>43294</v>
      </c>
      <c r="AH73" s="25">
        <f t="shared" si="12"/>
        <v>81</v>
      </c>
      <c r="AK73" s="27"/>
    </row>
    <row r="74" spans="1:37" s="26" customFormat="1" ht="14.25" customHeight="1" x14ac:dyDescent="0.45">
      <c r="A74" s="28" t="s">
        <v>41</v>
      </c>
      <c r="B74" s="28" t="s">
        <v>42</v>
      </c>
      <c r="C74" s="28" t="s">
        <v>43</v>
      </c>
      <c r="D74" s="9"/>
      <c r="E74" s="9"/>
      <c r="F74" s="10"/>
      <c r="G74" s="10">
        <v>43524</v>
      </c>
      <c r="H74" s="51"/>
      <c r="I74" s="52"/>
      <c r="J74" s="51"/>
      <c r="K74" s="51"/>
      <c r="L74" s="9"/>
      <c r="M74" s="10" t="str">
        <f t="shared" si="14"/>
        <v>Feb-19</v>
      </c>
      <c r="N74" s="10" t="str">
        <f t="shared" si="15"/>
        <v>Jan-00</v>
      </c>
      <c r="O74" s="16" t="s">
        <v>243</v>
      </c>
      <c r="P74" s="18" t="s">
        <v>244</v>
      </c>
      <c r="Q74" s="45">
        <v>1801.74</v>
      </c>
      <c r="R74" s="45"/>
      <c r="S74" s="18">
        <f t="shared" ref="S74:S137" si="21">SUM(Q74:R74)</f>
        <v>1801.74</v>
      </c>
      <c r="T74" s="64">
        <f t="shared" si="17"/>
        <v>1981.9140000000002</v>
      </c>
      <c r="U74" s="65">
        <v>3259.51</v>
      </c>
      <c r="V74" s="65"/>
      <c r="W74" s="78">
        <f t="shared" si="18"/>
        <v>3259.51</v>
      </c>
      <c r="X74" s="79">
        <f t="shared" si="19"/>
        <v>-1457.7700000000002</v>
      </c>
      <c r="Y74" s="80">
        <f t="shared" si="20"/>
        <v>-0.80909010179049157</v>
      </c>
      <c r="Z74" s="20"/>
      <c r="AA74" s="11">
        <f t="shared" si="13"/>
        <v>43538</v>
      </c>
      <c r="AB74" s="20"/>
      <c r="AC74" s="24" t="s">
        <v>73</v>
      </c>
      <c r="AD74" s="10" t="s">
        <v>47</v>
      </c>
      <c r="AE74" s="10">
        <v>43213</v>
      </c>
      <c r="AF74" s="48"/>
      <c r="AG74" s="10">
        <v>43304</v>
      </c>
      <c r="AH74" s="25">
        <f t="shared" si="12"/>
        <v>91</v>
      </c>
      <c r="AK74" s="27"/>
    </row>
    <row r="75" spans="1:37" s="26" customFormat="1" ht="14.25" customHeight="1" x14ac:dyDescent="0.45">
      <c r="A75" s="28" t="s">
        <v>41</v>
      </c>
      <c r="B75" s="8" t="s">
        <v>35</v>
      </c>
      <c r="C75" s="8" t="s">
        <v>36</v>
      </c>
      <c r="D75" s="9" t="s">
        <v>245</v>
      </c>
      <c r="E75" s="9">
        <v>43287</v>
      </c>
      <c r="F75" s="10">
        <v>43265</v>
      </c>
      <c r="G75" s="10">
        <v>43265</v>
      </c>
      <c r="H75" s="14">
        <v>43266</v>
      </c>
      <c r="I75" s="54">
        <v>43278</v>
      </c>
      <c r="J75" s="14">
        <v>43279</v>
      </c>
      <c r="K75" s="14">
        <v>43286</v>
      </c>
      <c r="L75" s="9"/>
      <c r="M75" s="10" t="str">
        <f t="shared" si="14"/>
        <v>Jun-18</v>
      </c>
      <c r="N75" s="10" t="str">
        <f t="shared" si="15"/>
        <v>Jul-18</v>
      </c>
      <c r="O75" s="16" t="s">
        <v>246</v>
      </c>
      <c r="P75" s="18" t="s">
        <v>178</v>
      </c>
      <c r="Q75" s="45">
        <v>7615.85</v>
      </c>
      <c r="R75" s="45">
        <v>1488.4099999999999</v>
      </c>
      <c r="S75" s="18">
        <f t="shared" si="21"/>
        <v>9104.26</v>
      </c>
      <c r="T75" s="64">
        <f t="shared" si="17"/>
        <v>10014.686000000002</v>
      </c>
      <c r="U75" s="65"/>
      <c r="V75" s="65"/>
      <c r="W75" s="21">
        <f t="shared" si="18"/>
        <v>0</v>
      </c>
      <c r="X75" s="22">
        <f t="shared" si="19"/>
        <v>9104.26</v>
      </c>
      <c r="Y75" s="35">
        <f t="shared" si="20"/>
        <v>1</v>
      </c>
      <c r="Z75" s="20"/>
      <c r="AA75" s="11">
        <f t="shared" si="13"/>
        <v>43279</v>
      </c>
      <c r="AB75" s="20"/>
      <c r="AC75" s="24" t="s">
        <v>69</v>
      </c>
      <c r="AD75" s="10">
        <v>43206</v>
      </c>
      <c r="AE75" s="10">
        <v>43213</v>
      </c>
      <c r="AF75" s="63">
        <f>AE75-AD75</f>
        <v>7</v>
      </c>
      <c r="AG75" s="10">
        <v>43235</v>
      </c>
      <c r="AH75" s="25">
        <f t="shared" si="12"/>
        <v>22</v>
      </c>
      <c r="AK75" s="27"/>
    </row>
    <row r="76" spans="1:37" s="26" customFormat="1" ht="14.25" customHeight="1" x14ac:dyDescent="0.45">
      <c r="A76" s="28" t="s">
        <v>247</v>
      </c>
      <c r="B76" s="8" t="s">
        <v>116</v>
      </c>
      <c r="C76" s="8" t="s">
        <v>117</v>
      </c>
      <c r="D76" s="9" t="s">
        <v>248</v>
      </c>
      <c r="E76" s="9">
        <v>43214</v>
      </c>
      <c r="F76" s="10">
        <v>43213</v>
      </c>
      <c r="G76" s="10">
        <v>43213</v>
      </c>
      <c r="H76" s="67"/>
      <c r="I76" s="68"/>
      <c r="J76" s="67"/>
      <c r="K76" s="14">
        <v>43305</v>
      </c>
      <c r="L76" s="9"/>
      <c r="M76" s="10" t="str">
        <f t="shared" si="14"/>
        <v>Apr-18</v>
      </c>
      <c r="N76" s="10" t="str">
        <f t="shared" si="15"/>
        <v>Jul-18</v>
      </c>
      <c r="O76" s="16" t="s">
        <v>249</v>
      </c>
      <c r="P76" s="18" t="s">
        <v>250</v>
      </c>
      <c r="Q76" s="45">
        <v>1153.2599999999998</v>
      </c>
      <c r="R76" s="73"/>
      <c r="S76" s="18">
        <f t="shared" si="21"/>
        <v>1153.2599999999998</v>
      </c>
      <c r="T76" s="64">
        <f t="shared" si="17"/>
        <v>1268.5859999999998</v>
      </c>
      <c r="U76" s="65"/>
      <c r="V76" s="65">
        <f>8*41.14</f>
        <v>329.12</v>
      </c>
      <c r="W76" s="21">
        <f t="shared" si="18"/>
        <v>329.12</v>
      </c>
      <c r="X76" s="22">
        <f t="shared" si="19"/>
        <v>824.13999999999976</v>
      </c>
      <c r="Y76" s="35">
        <f t="shared" si="20"/>
        <v>0.71461769245443341</v>
      </c>
      <c r="Z76" s="20"/>
      <c r="AA76" s="11">
        <f t="shared" si="13"/>
        <v>43227</v>
      </c>
      <c r="AB76" s="20"/>
      <c r="AC76" s="24" t="s">
        <v>121</v>
      </c>
      <c r="AD76" s="70"/>
      <c r="AE76" s="70"/>
      <c r="AF76" s="71"/>
      <c r="AG76" s="70"/>
      <c r="AH76" s="72"/>
      <c r="AK76" s="27"/>
    </row>
    <row r="77" spans="1:37" s="26" customFormat="1" ht="14.25" customHeight="1" x14ac:dyDescent="0.45">
      <c r="A77" s="28" t="s">
        <v>115</v>
      </c>
      <c r="B77" s="8" t="s">
        <v>116</v>
      </c>
      <c r="C77" s="8" t="s">
        <v>117</v>
      </c>
      <c r="D77" s="9" t="s">
        <v>251</v>
      </c>
      <c r="E77" s="9">
        <v>43214</v>
      </c>
      <c r="F77" s="10">
        <v>43195</v>
      </c>
      <c r="G77" s="10">
        <v>43195</v>
      </c>
      <c r="H77" s="67"/>
      <c r="I77" s="68"/>
      <c r="J77" s="67"/>
      <c r="K77" s="15">
        <v>43258</v>
      </c>
      <c r="L77" s="9"/>
      <c r="M77" s="10" t="str">
        <f t="shared" si="14"/>
        <v>Apr-18</v>
      </c>
      <c r="N77" s="10" t="str">
        <f t="shared" si="15"/>
        <v>Jun-18</v>
      </c>
      <c r="O77" s="16" t="s">
        <v>252</v>
      </c>
      <c r="P77" s="18" t="s">
        <v>253</v>
      </c>
      <c r="Q77" s="45">
        <v>4275.79</v>
      </c>
      <c r="R77" s="73"/>
      <c r="S77" s="18">
        <f t="shared" si="21"/>
        <v>4275.79</v>
      </c>
      <c r="T77" s="64">
        <f t="shared" si="17"/>
        <v>4703.3690000000006</v>
      </c>
      <c r="U77" s="65">
        <v>1736</v>
      </c>
      <c r="V77" s="65">
        <f>17.5*50</f>
        <v>875</v>
      </c>
      <c r="W77" s="21">
        <f t="shared" si="18"/>
        <v>2611</v>
      </c>
      <c r="X77" s="22">
        <f t="shared" si="19"/>
        <v>1664.79</v>
      </c>
      <c r="Y77" s="35">
        <f t="shared" si="20"/>
        <v>0.38935261086255407</v>
      </c>
      <c r="Z77" s="20"/>
      <c r="AA77" s="11">
        <f t="shared" si="13"/>
        <v>43209</v>
      </c>
      <c r="AB77" s="20"/>
      <c r="AC77" s="24" t="s">
        <v>121</v>
      </c>
      <c r="AD77" s="70"/>
      <c r="AE77" s="70"/>
      <c r="AF77" s="71"/>
      <c r="AG77" s="70"/>
      <c r="AH77" s="72"/>
      <c r="AK77" s="27"/>
    </row>
    <row r="78" spans="1:37" s="26" customFormat="1" ht="14.25" customHeight="1" x14ac:dyDescent="0.45">
      <c r="A78" s="28" t="s">
        <v>115</v>
      </c>
      <c r="B78" s="8" t="s">
        <v>116</v>
      </c>
      <c r="C78" s="8" t="s">
        <v>117</v>
      </c>
      <c r="D78" s="9" t="s">
        <v>254</v>
      </c>
      <c r="E78" s="9">
        <v>43214</v>
      </c>
      <c r="F78" s="10">
        <v>43185</v>
      </c>
      <c r="G78" s="10">
        <v>43185</v>
      </c>
      <c r="H78" s="67"/>
      <c r="I78" s="68"/>
      <c r="J78" s="67"/>
      <c r="K78" s="14">
        <v>43305</v>
      </c>
      <c r="L78" s="9"/>
      <c r="M78" s="10" t="str">
        <f t="shared" si="14"/>
        <v>Mar-18</v>
      </c>
      <c r="N78" s="10" t="str">
        <f t="shared" si="15"/>
        <v>Jul-18</v>
      </c>
      <c r="O78" s="16" t="s">
        <v>255</v>
      </c>
      <c r="P78" s="18" t="s">
        <v>256</v>
      </c>
      <c r="Q78" s="45">
        <v>896.9799999999999</v>
      </c>
      <c r="R78" s="73"/>
      <c r="S78" s="18">
        <f t="shared" si="21"/>
        <v>896.9799999999999</v>
      </c>
      <c r="T78" s="64">
        <f t="shared" si="17"/>
        <v>986.678</v>
      </c>
      <c r="U78" s="65"/>
      <c r="V78" s="65">
        <f>6*50</f>
        <v>300</v>
      </c>
      <c r="W78" s="21">
        <f t="shared" si="18"/>
        <v>300</v>
      </c>
      <c r="X78" s="22">
        <f t="shared" si="19"/>
        <v>596.9799999999999</v>
      </c>
      <c r="Y78" s="35">
        <f t="shared" si="20"/>
        <v>0.66554438226047397</v>
      </c>
      <c r="Z78" s="20"/>
      <c r="AA78" s="11">
        <f t="shared" si="13"/>
        <v>43199</v>
      </c>
      <c r="AB78" s="20"/>
      <c r="AC78" s="24" t="s">
        <v>121</v>
      </c>
      <c r="AD78" s="70"/>
      <c r="AE78" s="70"/>
      <c r="AF78" s="71"/>
      <c r="AG78" s="70"/>
      <c r="AH78" s="72"/>
      <c r="AK78" s="27"/>
    </row>
    <row r="79" spans="1:37" s="26" customFormat="1" ht="14.25" customHeight="1" x14ac:dyDescent="0.45">
      <c r="A79" s="28" t="s">
        <v>41</v>
      </c>
      <c r="B79" s="8" t="s">
        <v>35</v>
      </c>
      <c r="C79" s="8" t="s">
        <v>36</v>
      </c>
      <c r="D79" s="9" t="s">
        <v>257</v>
      </c>
      <c r="E79" s="9">
        <v>43278</v>
      </c>
      <c r="F79" s="10">
        <v>43258</v>
      </c>
      <c r="G79" s="10">
        <v>43258</v>
      </c>
      <c r="H79" s="14">
        <v>43265</v>
      </c>
      <c r="I79" s="54">
        <v>43272</v>
      </c>
      <c r="J79" s="14">
        <f>G79+14</f>
        <v>43272</v>
      </c>
      <c r="K79" s="14">
        <v>43279</v>
      </c>
      <c r="L79" s="9"/>
      <c r="M79" s="10" t="str">
        <f t="shared" si="14"/>
        <v>Jun-18</v>
      </c>
      <c r="N79" s="10" t="str">
        <f t="shared" si="15"/>
        <v>Jun-18</v>
      </c>
      <c r="O79" s="16" t="s">
        <v>258</v>
      </c>
      <c r="P79" s="18" t="s">
        <v>54</v>
      </c>
      <c r="Q79" s="45">
        <v>874.86</v>
      </c>
      <c r="R79" s="45">
        <v>4861.0450000000001</v>
      </c>
      <c r="S79" s="18">
        <f t="shared" si="21"/>
        <v>5735.9049999999997</v>
      </c>
      <c r="T79" s="64">
        <f t="shared" si="17"/>
        <v>6309.4955</v>
      </c>
      <c r="U79" s="65">
        <v>3000.14</v>
      </c>
      <c r="V79" s="65">
        <v>1211.9632499999998</v>
      </c>
      <c r="W79" s="21">
        <f t="shared" si="18"/>
        <v>4212.1032500000001</v>
      </c>
      <c r="X79" s="22">
        <f t="shared" si="19"/>
        <v>1523.8017499999996</v>
      </c>
      <c r="Y79" s="35">
        <f t="shared" si="20"/>
        <v>0.265660214037715</v>
      </c>
      <c r="Z79" s="20"/>
      <c r="AA79" s="11">
        <f t="shared" si="13"/>
        <v>43272</v>
      </c>
      <c r="AB79" s="20"/>
      <c r="AC79" s="24" t="s">
        <v>73</v>
      </c>
      <c r="AD79" s="10" t="s">
        <v>47</v>
      </c>
      <c r="AE79" s="10">
        <v>43214</v>
      </c>
      <c r="AF79" s="48"/>
      <c r="AG79" s="10">
        <v>43280</v>
      </c>
      <c r="AH79" s="25">
        <f t="shared" ref="AH79:AH86" si="22">AG79-AE79</f>
        <v>66</v>
      </c>
      <c r="AK79" s="27"/>
    </row>
    <row r="80" spans="1:37" s="26" customFormat="1" ht="14.25" customHeight="1" x14ac:dyDescent="0.45">
      <c r="A80" s="28" t="s">
        <v>41</v>
      </c>
      <c r="B80" s="8" t="s">
        <v>35</v>
      </c>
      <c r="C80" s="8" t="s">
        <v>36</v>
      </c>
      <c r="D80" s="9" t="s">
        <v>259</v>
      </c>
      <c r="E80" s="9">
        <v>43426</v>
      </c>
      <c r="F80" s="10">
        <v>43363</v>
      </c>
      <c r="G80" s="11">
        <v>43363</v>
      </c>
      <c r="H80" s="15">
        <v>43367</v>
      </c>
      <c r="I80" s="15">
        <v>43404</v>
      </c>
      <c r="J80" s="77">
        <f>G80+14</f>
        <v>43377</v>
      </c>
      <c r="K80" s="15">
        <v>43425</v>
      </c>
      <c r="L80" s="9"/>
      <c r="M80" s="10" t="str">
        <f t="shared" si="14"/>
        <v>Sep-18</v>
      </c>
      <c r="N80" s="10" t="str">
        <f t="shared" si="15"/>
        <v>Nov-18</v>
      </c>
      <c r="O80" s="17" t="s">
        <v>260</v>
      </c>
      <c r="P80" s="18" t="s">
        <v>261</v>
      </c>
      <c r="Q80" s="45">
        <v>1343.18</v>
      </c>
      <c r="R80" s="45">
        <v>4722.6000000000004</v>
      </c>
      <c r="S80" s="18">
        <f t="shared" si="21"/>
        <v>6065.7800000000007</v>
      </c>
      <c r="T80" s="64">
        <f t="shared" si="17"/>
        <v>6672.3580000000011</v>
      </c>
      <c r="U80" s="65">
        <v>3524.25</v>
      </c>
      <c r="V80" s="34"/>
      <c r="W80" s="21">
        <f t="shared" si="18"/>
        <v>3524.25</v>
      </c>
      <c r="X80" s="22">
        <f t="shared" si="19"/>
        <v>2541.5300000000007</v>
      </c>
      <c r="Y80" s="35">
        <f t="shared" si="20"/>
        <v>0.41899475417835802</v>
      </c>
      <c r="Z80" s="20"/>
      <c r="AA80" s="11"/>
      <c r="AB80" s="20"/>
      <c r="AC80" s="24" t="s">
        <v>73</v>
      </c>
      <c r="AD80" s="10" t="s">
        <v>47</v>
      </c>
      <c r="AE80" s="10">
        <v>43242</v>
      </c>
      <c r="AF80" s="48"/>
      <c r="AG80" s="10">
        <v>43313</v>
      </c>
      <c r="AH80" s="25">
        <f t="shared" si="22"/>
        <v>71</v>
      </c>
      <c r="AK80" s="27"/>
    </row>
    <row r="81" spans="1:37" s="26" customFormat="1" ht="14.25" customHeight="1" x14ac:dyDescent="0.45">
      <c r="A81" s="28" t="s">
        <v>262</v>
      </c>
      <c r="B81" s="8" t="s">
        <v>35</v>
      </c>
      <c r="C81" s="8" t="s">
        <v>36</v>
      </c>
      <c r="D81" s="9" t="s">
        <v>263</v>
      </c>
      <c r="E81" s="9">
        <v>43230</v>
      </c>
      <c r="F81" s="10">
        <v>43217</v>
      </c>
      <c r="G81" s="10">
        <v>43217</v>
      </c>
      <c r="H81" s="77">
        <v>43223</v>
      </c>
      <c r="I81" s="85">
        <v>43227</v>
      </c>
      <c r="J81" s="14">
        <f>G81+14</f>
        <v>43231</v>
      </c>
      <c r="K81" s="62">
        <v>43259</v>
      </c>
      <c r="L81" s="9"/>
      <c r="M81" s="10" t="str">
        <f t="shared" si="14"/>
        <v>Apr-18</v>
      </c>
      <c r="N81" s="10" t="str">
        <f t="shared" si="15"/>
        <v>Jun-18</v>
      </c>
      <c r="O81" s="16" t="s">
        <v>264</v>
      </c>
      <c r="P81" s="18" t="s">
        <v>265</v>
      </c>
      <c r="Q81" s="45">
        <v>34899.440000000002</v>
      </c>
      <c r="R81" s="73"/>
      <c r="S81" s="18">
        <f t="shared" si="21"/>
        <v>34899.440000000002</v>
      </c>
      <c r="T81" s="64">
        <f t="shared" si="17"/>
        <v>38389.384000000005</v>
      </c>
      <c r="U81" s="65">
        <v>25151.94</v>
      </c>
      <c r="V81" s="65"/>
      <c r="W81" s="21">
        <f t="shared" si="18"/>
        <v>25151.94</v>
      </c>
      <c r="X81" s="22">
        <f t="shared" si="19"/>
        <v>9747.5000000000036</v>
      </c>
      <c r="Y81" s="35">
        <f t="shared" si="20"/>
        <v>0.2793024759136537</v>
      </c>
      <c r="Z81" s="20"/>
      <c r="AA81" s="11">
        <f t="shared" ref="AA81:AA107" si="23">G81+14</f>
        <v>43231</v>
      </c>
      <c r="AB81" s="20"/>
      <c r="AC81" s="24" t="s">
        <v>266</v>
      </c>
      <c r="AD81" s="10" t="s">
        <v>47</v>
      </c>
      <c r="AE81" s="10">
        <v>43195</v>
      </c>
      <c r="AF81" s="48"/>
      <c r="AG81" s="55">
        <v>43217</v>
      </c>
      <c r="AH81" s="25">
        <f t="shared" si="22"/>
        <v>22</v>
      </c>
      <c r="AK81" s="27"/>
    </row>
    <row r="82" spans="1:37" s="26" customFormat="1" ht="14.25" customHeight="1" x14ac:dyDescent="0.45">
      <c r="A82" s="28" t="s">
        <v>262</v>
      </c>
      <c r="B82" s="8" t="s">
        <v>35</v>
      </c>
      <c r="C82" s="8" t="s">
        <v>36</v>
      </c>
      <c r="D82" s="9" t="s">
        <v>267</v>
      </c>
      <c r="E82" s="9">
        <v>43230</v>
      </c>
      <c r="F82" s="10">
        <v>43217</v>
      </c>
      <c r="G82" s="10">
        <v>43217</v>
      </c>
      <c r="H82" s="77">
        <v>43223</v>
      </c>
      <c r="I82" s="85">
        <v>43228</v>
      </c>
      <c r="J82" s="14">
        <f>G82+14</f>
        <v>43231</v>
      </c>
      <c r="K82" s="62">
        <v>43259</v>
      </c>
      <c r="L82" s="9"/>
      <c r="M82" s="10" t="str">
        <f t="shared" si="14"/>
        <v>Apr-18</v>
      </c>
      <c r="N82" s="10" t="str">
        <f t="shared" si="15"/>
        <v>Jun-18</v>
      </c>
      <c r="O82" s="16" t="s">
        <v>268</v>
      </c>
      <c r="P82" s="18" t="s">
        <v>269</v>
      </c>
      <c r="Q82" s="45">
        <v>30368.89</v>
      </c>
      <c r="R82" s="73"/>
      <c r="S82" s="18">
        <f t="shared" si="21"/>
        <v>30368.89</v>
      </c>
      <c r="T82" s="64">
        <f t="shared" si="17"/>
        <v>33405.779000000002</v>
      </c>
      <c r="U82" s="65">
        <v>15394.18</v>
      </c>
      <c r="V82" s="65"/>
      <c r="W82" s="21">
        <f t="shared" si="18"/>
        <v>15394.18</v>
      </c>
      <c r="X82" s="22">
        <f t="shared" si="19"/>
        <v>14974.71</v>
      </c>
      <c r="Y82" s="35">
        <f t="shared" si="20"/>
        <v>0.49309375482607365</v>
      </c>
      <c r="Z82" s="20"/>
      <c r="AA82" s="11">
        <f t="shared" si="23"/>
        <v>43231</v>
      </c>
      <c r="AB82" s="20"/>
      <c r="AC82" s="24" t="s">
        <v>266</v>
      </c>
      <c r="AD82" s="10" t="s">
        <v>47</v>
      </c>
      <c r="AE82" s="10">
        <v>43195</v>
      </c>
      <c r="AF82" s="48"/>
      <c r="AG82" s="86">
        <v>43210</v>
      </c>
      <c r="AH82" s="25">
        <f t="shared" si="22"/>
        <v>15</v>
      </c>
      <c r="AK82" s="27"/>
    </row>
    <row r="83" spans="1:37" s="26" customFormat="1" ht="14.25" customHeight="1" x14ac:dyDescent="0.45">
      <c r="A83" s="28" t="s">
        <v>262</v>
      </c>
      <c r="B83" s="8" t="s">
        <v>35</v>
      </c>
      <c r="C83" s="8" t="s">
        <v>36</v>
      </c>
      <c r="D83" s="9" t="s">
        <v>270</v>
      </c>
      <c r="E83" s="9">
        <v>43269</v>
      </c>
      <c r="F83" s="10">
        <v>43252</v>
      </c>
      <c r="G83" s="10">
        <v>43252</v>
      </c>
      <c r="H83" s="87">
        <v>43257</v>
      </c>
      <c r="I83" s="88">
        <v>43264</v>
      </c>
      <c r="J83" s="14">
        <f>G83+14</f>
        <v>43266</v>
      </c>
      <c r="K83" s="15">
        <v>43301</v>
      </c>
      <c r="L83" s="9"/>
      <c r="M83" s="10" t="str">
        <f t="shared" si="14"/>
        <v>Jun-18</v>
      </c>
      <c r="N83" s="10" t="str">
        <f t="shared" si="15"/>
        <v>Jul-18</v>
      </c>
      <c r="O83" s="16" t="s">
        <v>271</v>
      </c>
      <c r="P83" s="18" t="s">
        <v>272</v>
      </c>
      <c r="Q83" s="45">
        <v>39419.230000000003</v>
      </c>
      <c r="R83" s="73"/>
      <c r="S83" s="18">
        <f t="shared" si="21"/>
        <v>39419.230000000003</v>
      </c>
      <c r="T83" s="64">
        <f t="shared" si="17"/>
        <v>43361.153000000006</v>
      </c>
      <c r="U83" s="89"/>
      <c r="V83" s="34">
        <v>21000</v>
      </c>
      <c r="W83" s="21">
        <f t="shared" si="18"/>
        <v>21000</v>
      </c>
      <c r="X83" s="22">
        <f t="shared" si="19"/>
        <v>18419.230000000003</v>
      </c>
      <c r="Y83" s="35">
        <f t="shared" si="20"/>
        <v>0.46726508863821037</v>
      </c>
      <c r="Z83" s="20"/>
      <c r="AA83" s="11">
        <f t="shared" si="23"/>
        <v>43266</v>
      </c>
      <c r="AB83" s="20"/>
      <c r="AC83" s="24" t="s">
        <v>266</v>
      </c>
      <c r="AD83" s="10" t="s">
        <v>47</v>
      </c>
      <c r="AE83" s="10">
        <v>43208</v>
      </c>
      <c r="AF83" s="48"/>
      <c r="AG83" s="10">
        <v>43242</v>
      </c>
      <c r="AH83" s="25">
        <f t="shared" si="22"/>
        <v>34</v>
      </c>
      <c r="AK83" s="27"/>
    </row>
    <row r="84" spans="1:37" s="26" customFormat="1" ht="14.25" customHeight="1" x14ac:dyDescent="0.45">
      <c r="A84" s="28" t="s">
        <v>262</v>
      </c>
      <c r="B84" s="8" t="s">
        <v>35</v>
      </c>
      <c r="C84" s="8" t="s">
        <v>36</v>
      </c>
      <c r="D84" s="9" t="s">
        <v>273</v>
      </c>
      <c r="E84" s="9">
        <v>43243</v>
      </c>
      <c r="F84" s="10">
        <v>43234</v>
      </c>
      <c r="G84" s="10">
        <v>43234</v>
      </c>
      <c r="H84" s="77">
        <v>43238</v>
      </c>
      <c r="I84" s="85">
        <v>43241</v>
      </c>
      <c r="J84" s="14">
        <v>43241</v>
      </c>
      <c r="K84" s="15">
        <v>43259</v>
      </c>
      <c r="L84" s="9"/>
      <c r="M84" s="10" t="str">
        <f t="shared" si="14"/>
        <v>May-18</v>
      </c>
      <c r="N84" s="10" t="str">
        <f t="shared" si="15"/>
        <v>Jun-18</v>
      </c>
      <c r="O84" s="16" t="s">
        <v>274</v>
      </c>
      <c r="P84" s="18" t="s">
        <v>275</v>
      </c>
      <c r="Q84" s="45">
        <v>1897.3506749999997</v>
      </c>
      <c r="R84" s="73"/>
      <c r="S84" s="18">
        <f t="shared" si="21"/>
        <v>1897.3506749999997</v>
      </c>
      <c r="T84" s="64">
        <f t="shared" si="17"/>
        <v>2087.0857424999999</v>
      </c>
      <c r="U84" s="65">
        <v>443.04</v>
      </c>
      <c r="V84" s="65">
        <f>30*4+22*4</f>
        <v>208</v>
      </c>
      <c r="W84" s="21">
        <f t="shared" si="18"/>
        <v>651.04</v>
      </c>
      <c r="X84" s="22">
        <f t="shared" si="19"/>
        <v>1246.3106749999997</v>
      </c>
      <c r="Y84" s="35">
        <f t="shared" si="20"/>
        <v>0.6568689127538323</v>
      </c>
      <c r="Z84" s="20"/>
      <c r="AA84" s="11">
        <f t="shared" si="23"/>
        <v>43248</v>
      </c>
      <c r="AB84" s="20"/>
      <c r="AC84" s="24" t="s">
        <v>266</v>
      </c>
      <c r="AD84" s="10" t="s">
        <v>47</v>
      </c>
      <c r="AE84" s="10">
        <v>43210</v>
      </c>
      <c r="AF84" s="48"/>
      <c r="AG84" s="10">
        <v>43255</v>
      </c>
      <c r="AH84" s="25">
        <f t="shared" si="22"/>
        <v>45</v>
      </c>
      <c r="AK84" s="27"/>
    </row>
    <row r="85" spans="1:37" s="26" customFormat="1" ht="14.25" customHeight="1" x14ac:dyDescent="0.45">
      <c r="A85" s="28" t="s">
        <v>262</v>
      </c>
      <c r="B85" s="8" t="s">
        <v>35</v>
      </c>
      <c r="C85" s="8" t="s">
        <v>36</v>
      </c>
      <c r="D85" s="9" t="s">
        <v>276</v>
      </c>
      <c r="E85" s="9">
        <v>43287</v>
      </c>
      <c r="F85" s="10">
        <v>43242</v>
      </c>
      <c r="G85" s="10">
        <v>43242</v>
      </c>
      <c r="H85" s="67"/>
      <c r="I85" s="67"/>
      <c r="J85" s="15">
        <f>G85+14</f>
        <v>43256</v>
      </c>
      <c r="K85" s="15">
        <v>43301</v>
      </c>
      <c r="L85" s="9"/>
      <c r="M85" s="10" t="str">
        <f t="shared" si="14"/>
        <v>May-18</v>
      </c>
      <c r="N85" s="10" t="str">
        <f t="shared" si="15"/>
        <v>Jul-18</v>
      </c>
      <c r="O85" s="16" t="s">
        <v>277</v>
      </c>
      <c r="P85" s="18" t="s">
        <v>278</v>
      </c>
      <c r="Q85" s="45">
        <v>46564.38</v>
      </c>
      <c r="R85" s="73"/>
      <c r="S85" s="18">
        <f t="shared" si="21"/>
        <v>46564.38</v>
      </c>
      <c r="T85" s="64">
        <f t="shared" si="17"/>
        <v>51220.817999999999</v>
      </c>
      <c r="U85" s="65">
        <v>27635.11</v>
      </c>
      <c r="V85" s="65"/>
      <c r="W85" s="21">
        <f t="shared" si="18"/>
        <v>27635.11</v>
      </c>
      <c r="X85" s="22">
        <f t="shared" si="19"/>
        <v>18929.269999999997</v>
      </c>
      <c r="Y85" s="35">
        <f t="shared" si="20"/>
        <v>0.40651824420297228</v>
      </c>
      <c r="Z85" s="20"/>
      <c r="AA85" s="11">
        <f t="shared" si="23"/>
        <v>43256</v>
      </c>
      <c r="AB85" s="20"/>
      <c r="AC85" s="24" t="s">
        <v>266</v>
      </c>
      <c r="AD85" s="10" t="s">
        <v>47</v>
      </c>
      <c r="AE85" s="10">
        <v>43195</v>
      </c>
      <c r="AF85" s="48"/>
      <c r="AG85" s="90">
        <v>43202</v>
      </c>
      <c r="AH85" s="25">
        <f t="shared" si="22"/>
        <v>7</v>
      </c>
      <c r="AK85" s="27"/>
    </row>
    <row r="86" spans="1:37" s="26" customFormat="1" ht="14.25" customHeight="1" x14ac:dyDescent="0.45">
      <c r="A86" s="28" t="s">
        <v>262</v>
      </c>
      <c r="B86" s="8" t="s">
        <v>35</v>
      </c>
      <c r="C86" s="8" t="s">
        <v>36</v>
      </c>
      <c r="D86" s="9" t="s">
        <v>279</v>
      </c>
      <c r="E86" s="9">
        <v>43287</v>
      </c>
      <c r="F86" s="10">
        <v>43276</v>
      </c>
      <c r="G86" s="10">
        <v>43276</v>
      </c>
      <c r="H86" s="67"/>
      <c r="I86" s="68"/>
      <c r="J86" s="15">
        <f>G86+14</f>
        <v>43290</v>
      </c>
      <c r="K86" s="15">
        <v>43301</v>
      </c>
      <c r="L86" s="9"/>
      <c r="M86" s="10" t="str">
        <f t="shared" si="14"/>
        <v>Jun-18</v>
      </c>
      <c r="N86" s="10" t="str">
        <f t="shared" si="15"/>
        <v>Jul-18</v>
      </c>
      <c r="O86" s="16" t="s">
        <v>280</v>
      </c>
      <c r="P86" s="18" t="s">
        <v>278</v>
      </c>
      <c r="Q86" s="45">
        <v>30911.409282500004</v>
      </c>
      <c r="R86" s="73"/>
      <c r="S86" s="18">
        <f t="shared" si="21"/>
        <v>30911.409282500004</v>
      </c>
      <c r="T86" s="64">
        <f t="shared" si="17"/>
        <v>34002.550210750007</v>
      </c>
      <c r="U86" s="65">
        <v>22810.11</v>
      </c>
      <c r="V86" s="65"/>
      <c r="W86" s="21">
        <f t="shared" si="18"/>
        <v>22810.11</v>
      </c>
      <c r="X86" s="22">
        <f t="shared" si="19"/>
        <v>8101.2992825000038</v>
      </c>
      <c r="Y86" s="35">
        <f t="shared" si="20"/>
        <v>0.26208120142508107</v>
      </c>
      <c r="Z86" s="20"/>
      <c r="AA86" s="11">
        <f t="shared" si="23"/>
        <v>43290</v>
      </c>
      <c r="AB86" s="20"/>
      <c r="AC86" s="24" t="s">
        <v>266</v>
      </c>
      <c r="AD86" s="10" t="s">
        <v>47</v>
      </c>
      <c r="AE86" s="10">
        <v>43195</v>
      </c>
      <c r="AF86" s="48"/>
      <c r="AG86" s="90">
        <v>43220</v>
      </c>
      <c r="AH86" s="25">
        <f t="shared" si="22"/>
        <v>25</v>
      </c>
      <c r="AK86" s="27"/>
    </row>
    <row r="87" spans="1:37" s="26" customFormat="1" ht="14.25" customHeight="1" x14ac:dyDescent="0.45">
      <c r="A87" s="28" t="s">
        <v>262</v>
      </c>
      <c r="B87" s="8" t="s">
        <v>35</v>
      </c>
      <c r="C87" s="8" t="s">
        <v>36</v>
      </c>
      <c r="D87" s="9" t="s">
        <v>281</v>
      </c>
      <c r="E87" s="9">
        <v>43230</v>
      </c>
      <c r="F87" s="10">
        <v>43216</v>
      </c>
      <c r="G87" s="10">
        <v>43216</v>
      </c>
      <c r="H87" s="77">
        <v>43228</v>
      </c>
      <c r="I87" s="85">
        <v>43230</v>
      </c>
      <c r="J87" s="14">
        <f>G87+14</f>
        <v>43230</v>
      </c>
      <c r="K87" s="15">
        <v>43259</v>
      </c>
      <c r="L87" s="9"/>
      <c r="M87" s="10" t="str">
        <f t="shared" si="14"/>
        <v>Apr-18</v>
      </c>
      <c r="N87" s="10" t="str">
        <f t="shared" si="15"/>
        <v>Jun-18</v>
      </c>
      <c r="O87" s="16" t="s">
        <v>282</v>
      </c>
      <c r="P87" s="18" t="s">
        <v>160</v>
      </c>
      <c r="Q87" s="45">
        <v>5918.97</v>
      </c>
      <c r="R87" s="73"/>
      <c r="S87" s="18">
        <f t="shared" si="21"/>
        <v>5918.97</v>
      </c>
      <c r="T87" s="64">
        <f t="shared" si="17"/>
        <v>6510.8670000000011</v>
      </c>
      <c r="U87" s="65"/>
      <c r="V87" s="89">
        <v>1000</v>
      </c>
      <c r="W87" s="21">
        <f t="shared" si="18"/>
        <v>1000</v>
      </c>
      <c r="X87" s="22">
        <f t="shared" si="19"/>
        <v>4918.97</v>
      </c>
      <c r="Y87" s="35">
        <f t="shared" si="20"/>
        <v>0.83105168635759263</v>
      </c>
      <c r="Z87" s="20"/>
      <c r="AA87" s="11">
        <f t="shared" si="23"/>
        <v>43230</v>
      </c>
      <c r="AB87" s="20"/>
      <c r="AC87" s="24" t="s">
        <v>266</v>
      </c>
      <c r="AD87" s="10" t="s">
        <v>47</v>
      </c>
      <c r="AE87" s="10">
        <v>43201</v>
      </c>
      <c r="AF87" s="48"/>
      <c r="AG87" s="10">
        <v>43228</v>
      </c>
      <c r="AH87" s="25"/>
      <c r="AK87" s="27"/>
    </row>
    <row r="88" spans="1:37" s="26" customFormat="1" ht="14.25" customHeight="1" x14ac:dyDescent="0.45">
      <c r="A88" s="28" t="s">
        <v>41</v>
      </c>
      <c r="B88" s="8" t="s">
        <v>35</v>
      </c>
      <c r="C88" s="8" t="s">
        <v>36</v>
      </c>
      <c r="D88" s="91" t="s">
        <v>283</v>
      </c>
      <c r="E88" s="9">
        <v>43271</v>
      </c>
      <c r="F88" s="10">
        <v>43249</v>
      </c>
      <c r="G88" s="10">
        <v>43249</v>
      </c>
      <c r="H88" s="14">
        <v>43251</v>
      </c>
      <c r="I88" s="54">
        <v>43256</v>
      </c>
      <c r="J88" s="14">
        <v>43259</v>
      </c>
      <c r="K88" s="14">
        <v>43270</v>
      </c>
      <c r="L88" s="9"/>
      <c r="M88" s="10" t="str">
        <f t="shared" si="14"/>
        <v>May-18</v>
      </c>
      <c r="N88" s="10" t="str">
        <f t="shared" si="15"/>
        <v>Jun-18</v>
      </c>
      <c r="O88" s="16" t="s">
        <v>284</v>
      </c>
      <c r="P88" s="18" t="s">
        <v>285</v>
      </c>
      <c r="Q88" s="45">
        <v>4140.32</v>
      </c>
      <c r="R88" s="45">
        <v>7286.54</v>
      </c>
      <c r="S88" s="18">
        <f t="shared" si="21"/>
        <v>11426.86</v>
      </c>
      <c r="T88" s="64">
        <f t="shared" si="17"/>
        <v>12569.546000000002</v>
      </c>
      <c r="U88" s="65">
        <v>6489.4400000000005</v>
      </c>
      <c r="V88" s="65"/>
      <c r="W88" s="21">
        <f t="shared" si="18"/>
        <v>6489.4400000000005</v>
      </c>
      <c r="X88" s="22">
        <f t="shared" si="19"/>
        <v>4937.42</v>
      </c>
      <c r="Y88" s="35">
        <f t="shared" si="20"/>
        <v>0.43208895532105929</v>
      </c>
      <c r="Z88" s="20"/>
      <c r="AA88" s="11">
        <f t="shared" si="23"/>
        <v>43263</v>
      </c>
      <c r="AB88" s="20"/>
      <c r="AC88" s="24" t="s">
        <v>61</v>
      </c>
      <c r="AD88" s="10" t="s">
        <v>47</v>
      </c>
      <c r="AE88" s="10">
        <v>43214</v>
      </c>
      <c r="AF88" s="48"/>
      <c r="AG88" s="10">
        <v>43251</v>
      </c>
      <c r="AH88" s="25">
        <f t="shared" ref="AH88:AH95" si="24">AG88-AE88</f>
        <v>37</v>
      </c>
      <c r="AK88" s="27"/>
    </row>
    <row r="89" spans="1:37" s="26" customFormat="1" ht="14.25" customHeight="1" x14ac:dyDescent="0.45">
      <c r="A89" s="8" t="s">
        <v>34</v>
      </c>
      <c r="B89" s="8" t="s">
        <v>35</v>
      </c>
      <c r="C89" s="8" t="s">
        <v>36</v>
      </c>
      <c r="D89" s="9" t="s">
        <v>286</v>
      </c>
      <c r="E89" s="9">
        <v>43257</v>
      </c>
      <c r="F89" s="10">
        <v>43236</v>
      </c>
      <c r="G89" s="10">
        <v>43236</v>
      </c>
      <c r="H89" s="14">
        <v>43238</v>
      </c>
      <c r="I89" s="54">
        <v>43243</v>
      </c>
      <c r="J89" s="15">
        <v>43256</v>
      </c>
      <c r="K89" s="14">
        <v>43256</v>
      </c>
      <c r="L89" s="9"/>
      <c r="M89" s="10" t="str">
        <f t="shared" si="14"/>
        <v>May-18</v>
      </c>
      <c r="N89" s="10" t="str">
        <f t="shared" si="15"/>
        <v>Jun-18</v>
      </c>
      <c r="O89" s="16" t="s">
        <v>287</v>
      </c>
      <c r="P89" s="18" t="s">
        <v>288</v>
      </c>
      <c r="Q89" s="45">
        <v>8639.27</v>
      </c>
      <c r="R89" s="45">
        <v>-2352.5499999999997</v>
      </c>
      <c r="S89" s="18">
        <f t="shared" si="21"/>
        <v>6286.7200000000012</v>
      </c>
      <c r="T89" s="64">
        <f t="shared" si="17"/>
        <v>6915.3920000000016</v>
      </c>
      <c r="U89" s="65">
        <v>1143.6099999999999</v>
      </c>
      <c r="V89" s="65">
        <f>50*4+22*4+30*8+22*8</f>
        <v>704</v>
      </c>
      <c r="W89" s="21">
        <f t="shared" si="18"/>
        <v>1847.61</v>
      </c>
      <c r="X89" s="22">
        <f t="shared" si="19"/>
        <v>4439.1100000000015</v>
      </c>
      <c r="Y89" s="35">
        <f t="shared" si="20"/>
        <v>0.70610906800366502</v>
      </c>
      <c r="Z89" s="20"/>
      <c r="AA89" s="11">
        <f t="shared" si="23"/>
        <v>43250</v>
      </c>
      <c r="AB89" s="20"/>
      <c r="AC89" s="24" t="s">
        <v>289</v>
      </c>
      <c r="AD89" s="10">
        <v>43209</v>
      </c>
      <c r="AE89" s="10">
        <v>43214</v>
      </c>
      <c r="AF89" s="63">
        <f>AE89-AD89</f>
        <v>5</v>
      </c>
      <c r="AG89" s="10">
        <v>43243</v>
      </c>
      <c r="AH89" s="25">
        <f t="shared" si="24"/>
        <v>29</v>
      </c>
      <c r="AK89" s="27"/>
    </row>
    <row r="90" spans="1:37" s="26" customFormat="1" ht="14.25" customHeight="1" x14ac:dyDescent="0.45">
      <c r="A90" s="28" t="s">
        <v>41</v>
      </c>
      <c r="B90" s="8" t="s">
        <v>35</v>
      </c>
      <c r="C90" s="8" t="s">
        <v>36</v>
      </c>
      <c r="D90" s="9" t="s">
        <v>290</v>
      </c>
      <c r="E90" s="9">
        <v>43315</v>
      </c>
      <c r="F90" s="10">
        <v>43278</v>
      </c>
      <c r="G90" s="10">
        <v>43278</v>
      </c>
      <c r="H90" s="15">
        <v>43283</v>
      </c>
      <c r="I90" s="49">
        <v>43307</v>
      </c>
      <c r="J90" s="14">
        <f>G90+14</f>
        <v>43292</v>
      </c>
      <c r="K90" s="51">
        <f>I90+14</f>
        <v>43321</v>
      </c>
      <c r="L90" s="9"/>
      <c r="M90" s="10" t="str">
        <f t="shared" si="14"/>
        <v>Jun-18</v>
      </c>
      <c r="N90" s="10" t="str">
        <f t="shared" si="15"/>
        <v>Aug-18</v>
      </c>
      <c r="O90" s="16" t="s">
        <v>291</v>
      </c>
      <c r="P90" s="18" t="s">
        <v>292</v>
      </c>
      <c r="Q90" s="45">
        <v>1734.4</v>
      </c>
      <c r="R90" s="45">
        <v>13956.892000000005</v>
      </c>
      <c r="S90" s="18">
        <f t="shared" si="21"/>
        <v>15691.292000000005</v>
      </c>
      <c r="T90" s="64">
        <f t="shared" si="17"/>
        <v>17260.421200000008</v>
      </c>
      <c r="U90" s="65">
        <v>9740.19</v>
      </c>
      <c r="V90" s="65"/>
      <c r="W90" s="21">
        <f t="shared" si="18"/>
        <v>9740.19</v>
      </c>
      <c r="X90" s="22">
        <f t="shared" si="19"/>
        <v>5951.1020000000044</v>
      </c>
      <c r="Y90" s="35">
        <f t="shared" si="20"/>
        <v>0.37926144003948192</v>
      </c>
      <c r="Z90" s="20"/>
      <c r="AA90" s="11">
        <f t="shared" si="23"/>
        <v>43292</v>
      </c>
      <c r="AB90" s="20"/>
      <c r="AC90" s="24" t="s">
        <v>73</v>
      </c>
      <c r="AD90" s="10" t="s">
        <v>47</v>
      </c>
      <c r="AE90" s="10">
        <v>43214</v>
      </c>
      <c r="AF90" s="48"/>
      <c r="AG90" s="10">
        <v>43243</v>
      </c>
      <c r="AH90" s="25">
        <f t="shared" si="24"/>
        <v>29</v>
      </c>
      <c r="AK90" s="27"/>
    </row>
    <row r="91" spans="1:37" s="26" customFormat="1" ht="14.25" customHeight="1" x14ac:dyDescent="0.45">
      <c r="A91" s="28" t="s">
        <v>41</v>
      </c>
      <c r="B91" s="8" t="s">
        <v>35</v>
      </c>
      <c r="C91" s="8" t="s">
        <v>43</v>
      </c>
      <c r="D91" s="9" t="s">
        <v>293</v>
      </c>
      <c r="E91" s="9">
        <v>43481</v>
      </c>
      <c r="F91" s="10">
        <v>43399</v>
      </c>
      <c r="G91" s="10">
        <v>43399</v>
      </c>
      <c r="H91" s="15">
        <v>43417</v>
      </c>
      <c r="I91" s="49">
        <v>43452</v>
      </c>
      <c r="J91" s="14">
        <v>43413</v>
      </c>
      <c r="K91" s="15">
        <v>43475</v>
      </c>
      <c r="L91" s="9"/>
      <c r="M91" s="10" t="str">
        <f t="shared" si="14"/>
        <v>Oct-18</v>
      </c>
      <c r="N91" s="10" t="str">
        <f t="shared" si="15"/>
        <v>Jan-19</v>
      </c>
      <c r="O91" s="16" t="s">
        <v>294</v>
      </c>
      <c r="P91" s="18" t="s">
        <v>64</v>
      </c>
      <c r="Q91" s="45">
        <v>742.8</v>
      </c>
      <c r="R91" s="45">
        <v>15057.089999999998</v>
      </c>
      <c r="S91" s="18">
        <f t="shared" si="21"/>
        <v>15799.889999999998</v>
      </c>
      <c r="T91" s="64">
        <f t="shared" si="17"/>
        <v>17379.878999999997</v>
      </c>
      <c r="U91" s="65">
        <v>6285.84</v>
      </c>
      <c r="V91" s="65"/>
      <c r="W91" s="21">
        <f t="shared" si="18"/>
        <v>6285.84</v>
      </c>
      <c r="X91" s="22">
        <f t="shared" si="19"/>
        <v>9514.0499999999975</v>
      </c>
      <c r="Y91" s="35">
        <f t="shared" si="20"/>
        <v>0.60215925553912075</v>
      </c>
      <c r="Z91" s="20"/>
      <c r="AA91" s="11">
        <f t="shared" si="23"/>
        <v>43413</v>
      </c>
      <c r="AB91" s="20"/>
      <c r="AC91" s="24" t="s">
        <v>73</v>
      </c>
      <c r="AD91" s="10" t="s">
        <v>47</v>
      </c>
      <c r="AE91" s="10">
        <v>43214</v>
      </c>
      <c r="AF91" s="48"/>
      <c r="AG91" s="10">
        <v>43280</v>
      </c>
      <c r="AH91" s="25">
        <f t="shared" si="24"/>
        <v>66</v>
      </c>
      <c r="AK91" s="27"/>
    </row>
    <row r="92" spans="1:37" s="26" customFormat="1" ht="14.25" customHeight="1" x14ac:dyDescent="0.45">
      <c r="A92" s="28" t="s">
        <v>41</v>
      </c>
      <c r="B92" s="8" t="s">
        <v>35</v>
      </c>
      <c r="C92" s="8" t="s">
        <v>36</v>
      </c>
      <c r="D92" s="9" t="s">
        <v>295</v>
      </c>
      <c r="E92" s="9">
        <v>43280</v>
      </c>
      <c r="F92" s="10">
        <v>43257</v>
      </c>
      <c r="G92" s="10">
        <v>43258</v>
      </c>
      <c r="H92" s="14">
        <v>43258</v>
      </c>
      <c r="I92" s="54">
        <v>43259</v>
      </c>
      <c r="J92" s="14">
        <f>G92+14</f>
        <v>43272</v>
      </c>
      <c r="K92" s="14">
        <v>43273</v>
      </c>
      <c r="L92" s="9"/>
      <c r="M92" s="10" t="str">
        <f t="shared" si="14"/>
        <v>Jun-18</v>
      </c>
      <c r="N92" s="10" t="str">
        <f t="shared" si="15"/>
        <v>Jun-18</v>
      </c>
      <c r="O92" s="16" t="s">
        <v>296</v>
      </c>
      <c r="P92" s="18" t="s">
        <v>81</v>
      </c>
      <c r="Q92" s="45">
        <v>363.7</v>
      </c>
      <c r="R92" s="45">
        <v>599.79</v>
      </c>
      <c r="S92" s="18">
        <f t="shared" si="21"/>
        <v>963.49</v>
      </c>
      <c r="T92" s="64">
        <f t="shared" si="17"/>
        <v>1059.8390000000002</v>
      </c>
      <c r="U92" s="65"/>
      <c r="V92" s="65"/>
      <c r="W92" s="21">
        <f t="shared" si="18"/>
        <v>0</v>
      </c>
      <c r="X92" s="22">
        <f t="shared" si="19"/>
        <v>963.49</v>
      </c>
      <c r="Y92" s="35">
        <f t="shared" si="20"/>
        <v>1</v>
      </c>
      <c r="Z92" s="20"/>
      <c r="AA92" s="11">
        <f t="shared" si="23"/>
        <v>43272</v>
      </c>
      <c r="AB92" s="20"/>
      <c r="AC92" s="24" t="s">
        <v>73</v>
      </c>
      <c r="AD92" s="10" t="s">
        <v>47</v>
      </c>
      <c r="AE92" s="10">
        <v>43217</v>
      </c>
      <c r="AF92" s="48"/>
      <c r="AG92" s="10">
        <v>43266</v>
      </c>
      <c r="AH92" s="25">
        <f t="shared" si="24"/>
        <v>49</v>
      </c>
      <c r="AK92" s="27"/>
    </row>
    <row r="93" spans="1:37" s="26" customFormat="1" ht="14.25" customHeight="1" x14ac:dyDescent="0.45">
      <c r="A93" s="28" t="s">
        <v>41</v>
      </c>
      <c r="B93" s="8" t="s">
        <v>297</v>
      </c>
      <c r="C93" s="8" t="s">
        <v>36</v>
      </c>
      <c r="D93" s="9" t="s">
        <v>298</v>
      </c>
      <c r="E93" s="9">
        <v>43305</v>
      </c>
      <c r="F93" s="10">
        <v>43280</v>
      </c>
      <c r="G93" s="10">
        <v>43280</v>
      </c>
      <c r="H93" s="14">
        <v>43280</v>
      </c>
      <c r="I93" s="54">
        <v>43293</v>
      </c>
      <c r="J93" s="14">
        <f>G93+14</f>
        <v>43294</v>
      </c>
      <c r="K93" s="14">
        <v>43305</v>
      </c>
      <c r="L93" s="9"/>
      <c r="M93" s="10" t="str">
        <f t="shared" si="14"/>
        <v>Jun-18</v>
      </c>
      <c r="N93" s="10" t="str">
        <f t="shared" si="15"/>
        <v>Jul-18</v>
      </c>
      <c r="O93" s="16" t="s">
        <v>299</v>
      </c>
      <c r="P93" s="18" t="s">
        <v>300</v>
      </c>
      <c r="Q93" s="45">
        <v>1370.1</v>
      </c>
      <c r="R93" s="45">
        <v>5576.54</v>
      </c>
      <c r="S93" s="18">
        <f t="shared" si="21"/>
        <v>6946.6399999999994</v>
      </c>
      <c r="T93" s="64">
        <f t="shared" si="17"/>
        <v>7641.3040000000001</v>
      </c>
      <c r="U93" s="65">
        <v>4422.17</v>
      </c>
      <c r="V93" s="65"/>
      <c r="W93" s="21">
        <f t="shared" si="18"/>
        <v>4422.17</v>
      </c>
      <c r="X93" s="22">
        <f t="shared" si="19"/>
        <v>2524.4699999999993</v>
      </c>
      <c r="Y93" s="35">
        <f t="shared" si="20"/>
        <v>0.36340878467863597</v>
      </c>
      <c r="Z93" s="20"/>
      <c r="AA93" s="11">
        <f t="shared" si="23"/>
        <v>43294</v>
      </c>
      <c r="AB93" s="20"/>
      <c r="AC93" s="24" t="s">
        <v>73</v>
      </c>
      <c r="AD93" s="10" t="s">
        <v>47</v>
      </c>
      <c r="AE93" s="10">
        <v>43217</v>
      </c>
      <c r="AF93" s="48"/>
      <c r="AG93" s="10">
        <v>43297</v>
      </c>
      <c r="AH93" s="25">
        <f t="shared" si="24"/>
        <v>80</v>
      </c>
      <c r="AK93" s="27"/>
    </row>
    <row r="94" spans="1:37" s="26" customFormat="1" ht="14.25" customHeight="1" x14ac:dyDescent="0.45">
      <c r="A94" s="28" t="s">
        <v>41</v>
      </c>
      <c r="B94" s="28" t="s">
        <v>42</v>
      </c>
      <c r="C94" s="28" t="s">
        <v>43</v>
      </c>
      <c r="D94" s="9"/>
      <c r="E94" s="9"/>
      <c r="F94" s="10"/>
      <c r="G94" s="10">
        <v>43130</v>
      </c>
      <c r="H94" s="51"/>
      <c r="I94" s="52"/>
      <c r="J94" s="51"/>
      <c r="K94" s="51"/>
      <c r="L94" s="9"/>
      <c r="M94" s="10" t="str">
        <f t="shared" si="14"/>
        <v>Jan-18</v>
      </c>
      <c r="N94" s="10" t="str">
        <f t="shared" si="15"/>
        <v>Jan-00</v>
      </c>
      <c r="O94" s="16" t="s">
        <v>301</v>
      </c>
      <c r="P94" s="18" t="s">
        <v>302</v>
      </c>
      <c r="Q94" s="45">
        <v>2255.04</v>
      </c>
      <c r="R94" s="45"/>
      <c r="S94" s="18">
        <f t="shared" si="21"/>
        <v>2255.04</v>
      </c>
      <c r="T94" s="64">
        <f t="shared" si="17"/>
        <v>2480.5440000000003</v>
      </c>
      <c r="U94" s="65">
        <v>3673.03</v>
      </c>
      <c r="V94" s="89"/>
      <c r="W94" s="78">
        <f t="shared" si="18"/>
        <v>3673.03</v>
      </c>
      <c r="X94" s="22">
        <f t="shared" si="19"/>
        <v>-1417.9900000000002</v>
      </c>
      <c r="Y94" s="35">
        <f t="shared" si="20"/>
        <v>-0.62880924506882374</v>
      </c>
      <c r="Z94" s="20"/>
      <c r="AA94" s="11">
        <f t="shared" si="23"/>
        <v>43144</v>
      </c>
      <c r="AB94" s="20"/>
      <c r="AC94" s="24" t="s">
        <v>73</v>
      </c>
      <c r="AD94" s="10" t="s">
        <v>47</v>
      </c>
      <c r="AE94" s="10">
        <v>43217</v>
      </c>
      <c r="AF94" s="48"/>
      <c r="AG94" s="10">
        <v>43280</v>
      </c>
      <c r="AH94" s="25">
        <f t="shared" si="24"/>
        <v>63</v>
      </c>
      <c r="AK94" s="27"/>
    </row>
    <row r="95" spans="1:37" s="26" customFormat="1" ht="14.25" customHeight="1" x14ac:dyDescent="0.45">
      <c r="A95" s="28" t="s">
        <v>41</v>
      </c>
      <c r="B95" s="8" t="s">
        <v>129</v>
      </c>
      <c r="C95" s="8" t="s">
        <v>36</v>
      </c>
      <c r="D95" s="9" t="s">
        <v>303</v>
      </c>
      <c r="E95" s="9">
        <v>43341</v>
      </c>
      <c r="F95" s="10">
        <v>43320</v>
      </c>
      <c r="G95" s="10">
        <v>43320</v>
      </c>
      <c r="H95" s="67"/>
      <c r="I95" s="68"/>
      <c r="J95" s="14">
        <f>G95+14</f>
        <v>43334</v>
      </c>
      <c r="K95" s="14">
        <v>43340</v>
      </c>
      <c r="L95" s="9"/>
      <c r="M95" s="10" t="str">
        <f t="shared" si="14"/>
        <v>Aug-18</v>
      </c>
      <c r="N95" s="10" t="str">
        <f t="shared" si="15"/>
        <v>Aug-18</v>
      </c>
      <c r="O95" s="16" t="s">
        <v>304</v>
      </c>
      <c r="P95" s="18" t="s">
        <v>305</v>
      </c>
      <c r="Q95" s="45">
        <v>4344.17</v>
      </c>
      <c r="R95" s="73"/>
      <c r="S95" s="18">
        <f t="shared" si="21"/>
        <v>4344.17</v>
      </c>
      <c r="T95" s="64">
        <f t="shared" si="17"/>
        <v>4778.5870000000004</v>
      </c>
      <c r="U95" s="65"/>
      <c r="V95" s="65"/>
      <c r="W95" s="21">
        <f t="shared" si="18"/>
        <v>0</v>
      </c>
      <c r="X95" s="22">
        <f t="shared" si="19"/>
        <v>4344.17</v>
      </c>
      <c r="Y95" s="35">
        <f t="shared" si="20"/>
        <v>1</v>
      </c>
      <c r="Z95" s="20"/>
      <c r="AA95" s="11">
        <f t="shared" si="23"/>
        <v>43334</v>
      </c>
      <c r="AB95" s="20"/>
      <c r="AC95" s="24" t="s">
        <v>73</v>
      </c>
      <c r="AD95" s="10" t="s">
        <v>47</v>
      </c>
      <c r="AE95" s="10">
        <v>43217</v>
      </c>
      <c r="AF95" s="48"/>
      <c r="AG95" s="10">
        <v>43291</v>
      </c>
      <c r="AH95" s="25">
        <f t="shared" si="24"/>
        <v>74</v>
      </c>
      <c r="AK95" s="27"/>
    </row>
    <row r="96" spans="1:37" s="26" customFormat="1" ht="14.25" customHeight="1" x14ac:dyDescent="0.45">
      <c r="A96" s="28" t="s">
        <v>247</v>
      </c>
      <c r="B96" s="8" t="s">
        <v>116</v>
      </c>
      <c r="C96" s="8" t="s">
        <v>36</v>
      </c>
      <c r="D96" s="9" t="s">
        <v>306</v>
      </c>
      <c r="E96" s="9">
        <v>43220</v>
      </c>
      <c r="F96" s="10">
        <v>43185</v>
      </c>
      <c r="G96" s="10">
        <v>43185</v>
      </c>
      <c r="H96" s="67"/>
      <c r="I96" s="68"/>
      <c r="J96" s="67"/>
      <c r="K96" s="15">
        <v>43286</v>
      </c>
      <c r="L96" s="9"/>
      <c r="M96" s="10" t="str">
        <f t="shared" si="14"/>
        <v>Mar-18</v>
      </c>
      <c r="N96" s="10" t="str">
        <f t="shared" si="15"/>
        <v>Jul-18</v>
      </c>
      <c r="O96" s="16" t="s">
        <v>307</v>
      </c>
      <c r="P96" s="18" t="s">
        <v>308</v>
      </c>
      <c r="Q96" s="45">
        <v>1550.47</v>
      </c>
      <c r="R96" s="73"/>
      <c r="S96" s="18">
        <f t="shared" si="21"/>
        <v>1550.47</v>
      </c>
      <c r="T96" s="64">
        <f t="shared" si="17"/>
        <v>1705.5170000000003</v>
      </c>
      <c r="U96" s="65"/>
      <c r="V96" s="65">
        <f>44.14*9.5</f>
        <v>419.33</v>
      </c>
      <c r="W96" s="21">
        <f t="shared" si="18"/>
        <v>419.33</v>
      </c>
      <c r="X96" s="22">
        <f t="shared" si="19"/>
        <v>1131.1400000000001</v>
      </c>
      <c r="Y96" s="35">
        <f t="shared" si="20"/>
        <v>0.72954652460221747</v>
      </c>
      <c r="Z96" s="20"/>
      <c r="AA96" s="11">
        <f t="shared" si="23"/>
        <v>43199</v>
      </c>
      <c r="AB96" s="20"/>
      <c r="AC96" s="24" t="s">
        <v>121</v>
      </c>
      <c r="AD96" s="70"/>
      <c r="AE96" s="70"/>
      <c r="AF96" s="71"/>
      <c r="AG96" s="70"/>
      <c r="AH96" s="72"/>
      <c r="AK96" s="27"/>
    </row>
    <row r="97" spans="1:37" s="26" customFormat="1" ht="14.25" customHeight="1" x14ac:dyDescent="0.45">
      <c r="A97" s="28" t="s">
        <v>247</v>
      </c>
      <c r="B97" s="8" t="s">
        <v>116</v>
      </c>
      <c r="C97" s="8" t="s">
        <v>36</v>
      </c>
      <c r="D97" s="9" t="s">
        <v>309</v>
      </c>
      <c r="E97" s="9">
        <v>43220</v>
      </c>
      <c r="F97" s="10">
        <v>43185</v>
      </c>
      <c r="G97" s="10">
        <v>43185</v>
      </c>
      <c r="H97" s="67"/>
      <c r="I97" s="68"/>
      <c r="J97" s="67"/>
      <c r="K97" s="15">
        <v>43286</v>
      </c>
      <c r="L97" s="9"/>
      <c r="M97" s="10" t="str">
        <f t="shared" si="14"/>
        <v>Mar-18</v>
      </c>
      <c r="N97" s="10" t="str">
        <f t="shared" si="15"/>
        <v>Jul-18</v>
      </c>
      <c r="O97" s="16" t="s">
        <v>310</v>
      </c>
      <c r="P97" s="18" t="s">
        <v>308</v>
      </c>
      <c r="Q97" s="45">
        <v>640.69999999999993</v>
      </c>
      <c r="R97" s="73"/>
      <c r="S97" s="18">
        <f t="shared" si="21"/>
        <v>640.69999999999993</v>
      </c>
      <c r="T97" s="64">
        <f t="shared" si="17"/>
        <v>704.77</v>
      </c>
      <c r="U97" s="65"/>
      <c r="V97" s="65">
        <f>4*44.14</f>
        <v>176.56</v>
      </c>
      <c r="W97" s="21">
        <f t="shared" si="18"/>
        <v>176.56</v>
      </c>
      <c r="X97" s="22">
        <f t="shared" si="19"/>
        <v>464.13999999999993</v>
      </c>
      <c r="Y97" s="35">
        <f t="shared" si="20"/>
        <v>0.72442640861557672</v>
      </c>
      <c r="Z97" s="20"/>
      <c r="AA97" s="11">
        <f t="shared" si="23"/>
        <v>43199</v>
      </c>
      <c r="AB97" s="20"/>
      <c r="AC97" s="24" t="s">
        <v>121</v>
      </c>
      <c r="AD97" s="70"/>
      <c r="AE97" s="70"/>
      <c r="AF97" s="71"/>
      <c r="AG97" s="70"/>
      <c r="AH97" s="72"/>
      <c r="AK97" s="27"/>
    </row>
    <row r="98" spans="1:37" s="26" customFormat="1" ht="14.25" customHeight="1" x14ac:dyDescent="0.45">
      <c r="A98" s="28" t="s">
        <v>115</v>
      </c>
      <c r="B98" s="8" t="s">
        <v>116</v>
      </c>
      <c r="C98" s="8" t="s">
        <v>36</v>
      </c>
      <c r="D98" s="9" t="s">
        <v>311</v>
      </c>
      <c r="E98" s="9">
        <v>43220</v>
      </c>
      <c r="F98" s="10">
        <v>43187</v>
      </c>
      <c r="G98" s="10">
        <v>43187</v>
      </c>
      <c r="H98" s="67"/>
      <c r="I98" s="68"/>
      <c r="J98" s="67"/>
      <c r="K98" s="14">
        <v>43270</v>
      </c>
      <c r="L98" s="9"/>
      <c r="M98" s="10" t="str">
        <f t="shared" si="14"/>
        <v>Mar-18</v>
      </c>
      <c r="N98" s="10" t="str">
        <f t="shared" si="15"/>
        <v>Jun-18</v>
      </c>
      <c r="O98" s="16" t="s">
        <v>312</v>
      </c>
      <c r="P98" s="18" t="s">
        <v>127</v>
      </c>
      <c r="Q98" s="45">
        <v>640.69999999999993</v>
      </c>
      <c r="R98" s="73"/>
      <c r="S98" s="18">
        <f t="shared" si="21"/>
        <v>640.69999999999993</v>
      </c>
      <c r="T98" s="64">
        <f t="shared" si="17"/>
        <v>704.77</v>
      </c>
      <c r="U98" s="65"/>
      <c r="V98" s="65">
        <f>3.5*50</f>
        <v>175</v>
      </c>
      <c r="W98" s="21">
        <f t="shared" si="18"/>
        <v>175</v>
      </c>
      <c r="X98" s="22">
        <f t="shared" si="19"/>
        <v>465.69999999999993</v>
      </c>
      <c r="Y98" s="35">
        <f t="shared" si="20"/>
        <v>0.72686124551272047</v>
      </c>
      <c r="Z98" s="20"/>
      <c r="AA98" s="11">
        <f t="shared" si="23"/>
        <v>43201</v>
      </c>
      <c r="AB98" s="20"/>
      <c r="AC98" s="24" t="s">
        <v>121</v>
      </c>
      <c r="AD98" s="70"/>
      <c r="AE98" s="70"/>
      <c r="AF98" s="71"/>
      <c r="AG98" s="70"/>
      <c r="AH98" s="72"/>
      <c r="AK98" s="27"/>
    </row>
    <row r="99" spans="1:37" s="26" customFormat="1" ht="14.25" customHeight="1" x14ac:dyDescent="0.45">
      <c r="A99" s="28" t="s">
        <v>247</v>
      </c>
      <c r="B99" s="8" t="s">
        <v>116</v>
      </c>
      <c r="C99" s="8" t="s">
        <v>36</v>
      </c>
      <c r="D99" s="9" t="s">
        <v>313</v>
      </c>
      <c r="E99" s="9">
        <v>43220</v>
      </c>
      <c r="F99" s="10">
        <v>43186</v>
      </c>
      <c r="G99" s="10">
        <v>43186</v>
      </c>
      <c r="H99" s="67"/>
      <c r="I99" s="68"/>
      <c r="J99" s="67"/>
      <c r="K99" s="15">
        <v>43286</v>
      </c>
      <c r="L99" s="9"/>
      <c r="M99" s="10" t="str">
        <f t="shared" si="14"/>
        <v>Mar-18</v>
      </c>
      <c r="N99" s="10" t="str">
        <f t="shared" si="15"/>
        <v>Jul-18</v>
      </c>
      <c r="O99" s="16" t="s">
        <v>314</v>
      </c>
      <c r="P99" s="18" t="s">
        <v>178</v>
      </c>
      <c r="Q99" s="45">
        <v>256.27999999999997</v>
      </c>
      <c r="R99" s="73"/>
      <c r="S99" s="18">
        <f t="shared" si="21"/>
        <v>256.27999999999997</v>
      </c>
      <c r="T99" s="64">
        <f t="shared" si="17"/>
        <v>281.90800000000002</v>
      </c>
      <c r="U99" s="65"/>
      <c r="V99" s="92">
        <f>2*56</f>
        <v>112</v>
      </c>
      <c r="W99" s="21">
        <f t="shared" si="18"/>
        <v>112</v>
      </c>
      <c r="X99" s="22">
        <f t="shared" si="19"/>
        <v>144.27999999999997</v>
      </c>
      <c r="Y99" s="35">
        <f t="shared" si="20"/>
        <v>0.56297799282035266</v>
      </c>
      <c r="Z99" s="20"/>
      <c r="AA99" s="11">
        <f t="shared" si="23"/>
        <v>43200</v>
      </c>
      <c r="AB99" s="20"/>
      <c r="AC99" s="24" t="s">
        <v>121</v>
      </c>
      <c r="AD99" s="70"/>
      <c r="AE99" s="70"/>
      <c r="AF99" s="71"/>
      <c r="AG99" s="70"/>
      <c r="AH99" s="72"/>
      <c r="AK99" s="27"/>
    </row>
    <row r="100" spans="1:37" s="26" customFormat="1" ht="14.25" customHeight="1" x14ac:dyDescent="0.45">
      <c r="A100" s="28" t="s">
        <v>41</v>
      </c>
      <c r="B100" s="8" t="s">
        <v>35</v>
      </c>
      <c r="C100" s="8" t="s">
        <v>36</v>
      </c>
      <c r="D100" s="9" t="s">
        <v>109</v>
      </c>
      <c r="E100" s="9">
        <v>43271</v>
      </c>
      <c r="F100" s="11">
        <v>43250</v>
      </c>
      <c r="G100" s="11">
        <v>43250</v>
      </c>
      <c r="H100" s="14">
        <v>43265</v>
      </c>
      <c r="I100" s="54">
        <v>43272</v>
      </c>
      <c r="J100" s="12">
        <f>G100+14</f>
        <v>43264</v>
      </c>
      <c r="K100" s="12">
        <v>43279</v>
      </c>
      <c r="L100" s="9"/>
      <c r="M100" s="10" t="str">
        <f t="shared" si="14"/>
        <v>May-18</v>
      </c>
      <c r="N100" s="10" t="str">
        <f t="shared" si="15"/>
        <v>Jun-18</v>
      </c>
      <c r="O100" s="16" t="s">
        <v>315</v>
      </c>
      <c r="P100" s="18" t="s">
        <v>72</v>
      </c>
      <c r="Q100" s="45">
        <v>685.25</v>
      </c>
      <c r="R100" s="45">
        <v>2551.7600000000002</v>
      </c>
      <c r="S100" s="18">
        <f t="shared" si="21"/>
        <v>3237.01</v>
      </c>
      <c r="T100" s="64">
        <f t="shared" si="17"/>
        <v>3560.7110000000007</v>
      </c>
      <c r="U100" s="65">
        <v>306.39999999999998</v>
      </c>
      <c r="V100" s="65"/>
      <c r="W100" s="21">
        <f t="shared" si="18"/>
        <v>306.39999999999998</v>
      </c>
      <c r="X100" s="22">
        <f t="shared" si="19"/>
        <v>2930.61</v>
      </c>
      <c r="Y100" s="35">
        <f t="shared" si="20"/>
        <v>0.90534474715864333</v>
      </c>
      <c r="Z100" s="20"/>
      <c r="AA100" s="11">
        <f t="shared" si="23"/>
        <v>43264</v>
      </c>
      <c r="AB100" s="20"/>
      <c r="AC100" s="24" t="s">
        <v>73</v>
      </c>
      <c r="AD100" s="10" t="s">
        <v>47</v>
      </c>
      <c r="AE100" s="10">
        <v>43217</v>
      </c>
      <c r="AF100" s="48"/>
      <c r="AG100" s="10">
        <v>43292</v>
      </c>
      <c r="AH100" s="25">
        <f t="shared" ref="AH100:AH117" si="25">AG100-AE100</f>
        <v>75</v>
      </c>
      <c r="AK100" s="27"/>
    </row>
    <row r="101" spans="1:37" s="26" customFormat="1" ht="14.25" customHeight="1" x14ac:dyDescent="0.45">
      <c r="A101" s="8" t="s">
        <v>34</v>
      </c>
      <c r="B101" s="8" t="s">
        <v>100</v>
      </c>
      <c r="C101" s="8" t="s">
        <v>36</v>
      </c>
      <c r="D101" s="9" t="s">
        <v>316</v>
      </c>
      <c r="E101" s="9">
        <v>43341</v>
      </c>
      <c r="F101" s="10">
        <v>43320</v>
      </c>
      <c r="G101" s="10">
        <v>43320</v>
      </c>
      <c r="H101" s="83">
        <v>43326</v>
      </c>
      <c r="I101" s="83">
        <v>43328</v>
      </c>
      <c r="J101" s="14">
        <f>G101+14</f>
        <v>43334</v>
      </c>
      <c r="K101" s="14">
        <f>J101+14</f>
        <v>43348</v>
      </c>
      <c r="L101" s="9"/>
      <c r="M101" s="10" t="str">
        <f t="shared" si="14"/>
        <v>Aug-18</v>
      </c>
      <c r="N101" s="10" t="str">
        <f t="shared" si="15"/>
        <v>Sep-18</v>
      </c>
      <c r="O101" s="50" t="s">
        <v>317</v>
      </c>
      <c r="P101" s="50" t="s">
        <v>318</v>
      </c>
      <c r="Q101" s="45">
        <v>1698</v>
      </c>
      <c r="R101" s="32">
        <f>12283.12-3088.76</f>
        <v>9194.36</v>
      </c>
      <c r="S101" s="18">
        <f t="shared" si="21"/>
        <v>10892.36</v>
      </c>
      <c r="T101" s="64">
        <f t="shared" si="17"/>
        <v>11981.596000000001</v>
      </c>
      <c r="U101" s="34">
        <f>4398.8-2011.12</f>
        <v>2387.6800000000003</v>
      </c>
      <c r="V101" s="93">
        <v>8787.32</v>
      </c>
      <c r="W101" s="94">
        <f t="shared" si="18"/>
        <v>11175</v>
      </c>
      <c r="X101" s="22">
        <f t="shared" si="19"/>
        <v>-282.63999999999942</v>
      </c>
      <c r="Y101" s="35">
        <f t="shared" si="20"/>
        <v>-2.5948462959358615E-2</v>
      </c>
      <c r="Z101" s="20"/>
      <c r="AA101" s="11">
        <f t="shared" si="23"/>
        <v>43334</v>
      </c>
      <c r="AB101" s="20"/>
      <c r="AC101" s="24" t="s">
        <v>319</v>
      </c>
      <c r="AD101" s="10">
        <v>43031</v>
      </c>
      <c r="AE101" s="10">
        <v>43146</v>
      </c>
      <c r="AF101" s="63">
        <f>AE101-AD101</f>
        <v>115</v>
      </c>
      <c r="AG101" s="10">
        <v>43182</v>
      </c>
      <c r="AH101" s="25">
        <f t="shared" si="25"/>
        <v>36</v>
      </c>
      <c r="AK101" s="27"/>
    </row>
    <row r="102" spans="1:37" s="26" customFormat="1" ht="14.25" customHeight="1" x14ac:dyDescent="0.45">
      <c r="A102" s="28" t="s">
        <v>41</v>
      </c>
      <c r="B102" s="8" t="s">
        <v>35</v>
      </c>
      <c r="C102" s="8" t="s">
        <v>36</v>
      </c>
      <c r="D102" s="9" t="s">
        <v>320</v>
      </c>
      <c r="E102" s="9">
        <v>43369</v>
      </c>
      <c r="F102" s="10">
        <v>43332</v>
      </c>
      <c r="G102" s="10">
        <v>43332</v>
      </c>
      <c r="H102" s="15">
        <v>43333</v>
      </c>
      <c r="I102" s="49">
        <v>43362</v>
      </c>
      <c r="J102" s="14">
        <f>G102+14</f>
        <v>43346</v>
      </c>
      <c r="K102" s="15">
        <v>43370</v>
      </c>
      <c r="L102" s="9"/>
      <c r="M102" s="10" t="str">
        <f t="shared" si="14"/>
        <v>Aug-18</v>
      </c>
      <c r="N102" s="10" t="str">
        <f t="shared" si="15"/>
        <v>Sep-18</v>
      </c>
      <c r="O102" s="16" t="s">
        <v>321</v>
      </c>
      <c r="P102" s="18" t="s">
        <v>322</v>
      </c>
      <c r="Q102" s="45">
        <v>2099.66</v>
      </c>
      <c r="R102" s="45">
        <v>6645.09</v>
      </c>
      <c r="S102" s="18">
        <f t="shared" si="21"/>
        <v>8744.75</v>
      </c>
      <c r="T102" s="64">
        <f t="shared" si="17"/>
        <v>9619.2250000000004</v>
      </c>
      <c r="U102" s="34">
        <v>3019.2799999999997</v>
      </c>
      <c r="V102" s="34"/>
      <c r="W102" s="21">
        <f t="shared" si="18"/>
        <v>3019.2799999999997</v>
      </c>
      <c r="X102" s="22">
        <f t="shared" si="19"/>
        <v>5725.47</v>
      </c>
      <c r="Y102" s="35">
        <f t="shared" si="20"/>
        <v>0.65473226793218786</v>
      </c>
      <c r="Z102" s="20"/>
      <c r="AA102" s="11">
        <f t="shared" si="23"/>
        <v>43346</v>
      </c>
      <c r="AB102" s="20"/>
      <c r="AC102" s="24" t="s">
        <v>46</v>
      </c>
      <c r="AD102" s="10" t="s">
        <v>47</v>
      </c>
      <c r="AE102" s="10">
        <v>43220</v>
      </c>
      <c r="AF102" s="48"/>
      <c r="AG102" s="10">
        <v>43297</v>
      </c>
      <c r="AH102" s="25">
        <f t="shared" si="25"/>
        <v>77</v>
      </c>
      <c r="AK102" s="27"/>
    </row>
    <row r="103" spans="1:37" s="26" customFormat="1" ht="14.25" customHeight="1" x14ac:dyDescent="0.45">
      <c r="A103" s="28" t="s">
        <v>41</v>
      </c>
      <c r="B103" s="8" t="s">
        <v>35</v>
      </c>
      <c r="C103" s="8" t="s">
        <v>36</v>
      </c>
      <c r="D103" s="9" t="s">
        <v>323</v>
      </c>
      <c r="E103" s="9">
        <v>43280</v>
      </c>
      <c r="F103" s="10">
        <v>43252</v>
      </c>
      <c r="G103" s="11">
        <v>43255</v>
      </c>
      <c r="H103" s="14">
        <v>43257</v>
      </c>
      <c r="I103" s="54">
        <v>43269</v>
      </c>
      <c r="J103" s="14">
        <f>G103+14</f>
        <v>43269</v>
      </c>
      <c r="K103" s="14">
        <v>43277</v>
      </c>
      <c r="L103" s="9"/>
      <c r="M103" s="10" t="str">
        <f t="shared" si="14"/>
        <v>Jun-18</v>
      </c>
      <c r="N103" s="10" t="str">
        <f t="shared" si="15"/>
        <v>Jun-18</v>
      </c>
      <c r="O103" s="16" t="s">
        <v>324</v>
      </c>
      <c r="P103" s="18" t="s">
        <v>325</v>
      </c>
      <c r="Q103" s="45">
        <v>1554.24</v>
      </c>
      <c r="R103" s="45">
        <v>13339.46</v>
      </c>
      <c r="S103" s="18">
        <f t="shared" si="21"/>
        <v>14893.699999999999</v>
      </c>
      <c r="T103" s="64">
        <f t="shared" si="17"/>
        <v>16383.07</v>
      </c>
      <c r="U103" s="65">
        <v>6425.2</v>
      </c>
      <c r="V103" s="65"/>
      <c r="W103" s="21">
        <f t="shared" si="18"/>
        <v>6425.2</v>
      </c>
      <c r="X103" s="22">
        <f t="shared" si="19"/>
        <v>8468.5</v>
      </c>
      <c r="Y103" s="35">
        <f t="shared" si="20"/>
        <v>0.56859611782162933</v>
      </c>
      <c r="Z103" s="20"/>
      <c r="AA103" s="11">
        <f t="shared" si="23"/>
        <v>43269</v>
      </c>
      <c r="AB103" s="20"/>
      <c r="AC103" s="24" t="s">
        <v>73</v>
      </c>
      <c r="AD103" s="10" t="s">
        <v>47</v>
      </c>
      <c r="AE103" s="10">
        <v>43221</v>
      </c>
      <c r="AF103" s="48"/>
      <c r="AG103" s="10">
        <v>43280</v>
      </c>
      <c r="AH103" s="25">
        <f t="shared" si="25"/>
        <v>59</v>
      </c>
      <c r="AK103" s="27"/>
    </row>
    <row r="104" spans="1:37" s="26" customFormat="1" ht="14.25" customHeight="1" x14ac:dyDescent="0.45">
      <c r="A104" s="28" t="s">
        <v>41</v>
      </c>
      <c r="B104" s="8" t="s">
        <v>35</v>
      </c>
      <c r="C104" s="8" t="s">
        <v>36</v>
      </c>
      <c r="D104" s="9" t="s">
        <v>326</v>
      </c>
      <c r="E104" s="9">
        <v>43280</v>
      </c>
      <c r="F104" s="10">
        <v>43245</v>
      </c>
      <c r="G104" s="10">
        <v>43249</v>
      </c>
      <c r="H104" s="15">
        <v>43251</v>
      </c>
      <c r="I104" s="49">
        <v>43270</v>
      </c>
      <c r="J104" s="14">
        <v>43259</v>
      </c>
      <c r="K104" s="14">
        <f>J104+14</f>
        <v>43273</v>
      </c>
      <c r="L104" s="9"/>
      <c r="M104" s="10" t="str">
        <f t="shared" si="14"/>
        <v>May-18</v>
      </c>
      <c r="N104" s="10" t="str">
        <f t="shared" si="15"/>
        <v>Jun-18</v>
      </c>
      <c r="O104" s="16" t="s">
        <v>327</v>
      </c>
      <c r="P104" s="18" t="s">
        <v>328</v>
      </c>
      <c r="Q104" s="45">
        <v>2743.96</v>
      </c>
      <c r="R104" s="45">
        <v>6734.32</v>
      </c>
      <c r="S104" s="18">
        <f t="shared" si="21"/>
        <v>9478.2799999999988</v>
      </c>
      <c r="T104" s="64">
        <f t="shared" si="17"/>
        <v>10426.108</v>
      </c>
      <c r="U104" s="65">
        <v>6152.49</v>
      </c>
      <c r="V104" s="65"/>
      <c r="W104" s="21">
        <f t="shared" si="18"/>
        <v>6152.49</v>
      </c>
      <c r="X104" s="22">
        <f t="shared" si="19"/>
        <v>3325.7899999999991</v>
      </c>
      <c r="Y104" s="35">
        <f t="shared" si="20"/>
        <v>0.35088539270838165</v>
      </c>
      <c r="Z104" s="20"/>
      <c r="AA104" s="11">
        <f t="shared" si="23"/>
        <v>43263</v>
      </c>
      <c r="AB104" s="20"/>
      <c r="AC104" s="24" t="s">
        <v>73</v>
      </c>
      <c r="AD104" s="10" t="s">
        <v>47</v>
      </c>
      <c r="AE104" s="10">
        <v>43221</v>
      </c>
      <c r="AF104" s="48"/>
      <c r="AG104" s="10">
        <v>43259</v>
      </c>
      <c r="AH104" s="25">
        <f t="shared" si="25"/>
        <v>38</v>
      </c>
      <c r="AK104" s="27"/>
    </row>
    <row r="105" spans="1:37" s="26" customFormat="1" ht="14.25" customHeight="1" x14ac:dyDescent="0.45">
      <c r="A105" s="28" t="s">
        <v>41</v>
      </c>
      <c r="B105" s="8" t="s">
        <v>35</v>
      </c>
      <c r="C105" s="8" t="s">
        <v>36</v>
      </c>
      <c r="D105" s="9" t="s">
        <v>329</v>
      </c>
      <c r="E105" s="9">
        <v>43418</v>
      </c>
      <c r="F105" s="10">
        <v>43376</v>
      </c>
      <c r="G105" s="10">
        <v>43376</v>
      </c>
      <c r="H105" s="14">
        <v>43384</v>
      </c>
      <c r="I105" s="54">
        <v>43399</v>
      </c>
      <c r="J105" s="14">
        <f>G105+14</f>
        <v>43390</v>
      </c>
      <c r="K105" s="15">
        <v>43417</v>
      </c>
      <c r="L105" s="9"/>
      <c r="M105" s="10" t="str">
        <f t="shared" si="14"/>
        <v>Oct-18</v>
      </c>
      <c r="N105" s="10" t="str">
        <f t="shared" si="15"/>
        <v>Nov-18</v>
      </c>
      <c r="O105" s="16" t="s">
        <v>330</v>
      </c>
      <c r="P105" s="18" t="s">
        <v>81</v>
      </c>
      <c r="Q105" s="45">
        <v>9295.6200000000008</v>
      </c>
      <c r="R105" s="45">
        <f>59466.21+13164.88</f>
        <v>72631.09</v>
      </c>
      <c r="S105" s="18">
        <f t="shared" si="21"/>
        <v>81926.709999999992</v>
      </c>
      <c r="T105" s="64">
        <f t="shared" si="17"/>
        <v>90119.380999999994</v>
      </c>
      <c r="U105" s="65">
        <v>55633.47</v>
      </c>
      <c r="V105" s="34"/>
      <c r="W105" s="21">
        <f t="shared" si="18"/>
        <v>55633.47</v>
      </c>
      <c r="X105" s="22">
        <f t="shared" si="19"/>
        <v>26293.239999999991</v>
      </c>
      <c r="Y105" s="35">
        <f t="shared" si="20"/>
        <v>0.32093611472986028</v>
      </c>
      <c r="Z105" s="20"/>
      <c r="AA105" s="11">
        <f t="shared" si="23"/>
        <v>43390</v>
      </c>
      <c r="AB105" s="20"/>
      <c r="AC105" s="24" t="s">
        <v>73</v>
      </c>
      <c r="AD105" s="10" t="s">
        <v>47</v>
      </c>
      <c r="AE105" s="10">
        <v>43221</v>
      </c>
      <c r="AF105" s="48"/>
      <c r="AG105" s="10">
        <v>43278</v>
      </c>
      <c r="AH105" s="25">
        <f t="shared" si="25"/>
        <v>57</v>
      </c>
      <c r="AK105" s="27"/>
    </row>
    <row r="106" spans="1:37" s="26" customFormat="1" ht="14.25" customHeight="1" x14ac:dyDescent="0.45">
      <c r="A106" s="8" t="s">
        <v>34</v>
      </c>
      <c r="B106" s="8" t="s">
        <v>100</v>
      </c>
      <c r="C106" s="8" t="s">
        <v>36</v>
      </c>
      <c r="D106" s="9"/>
      <c r="E106" s="9"/>
      <c r="F106" s="10">
        <v>43286</v>
      </c>
      <c r="G106" s="10">
        <v>43286</v>
      </c>
      <c r="H106" s="14">
        <v>43290</v>
      </c>
      <c r="I106" s="54">
        <v>43297</v>
      </c>
      <c r="J106" s="14">
        <f>G106+14</f>
        <v>43300</v>
      </c>
      <c r="K106" s="14">
        <v>43312</v>
      </c>
      <c r="L106" s="9"/>
      <c r="M106" s="10" t="str">
        <f t="shared" si="14"/>
        <v>Jul-18</v>
      </c>
      <c r="N106" s="10" t="str">
        <f t="shared" si="15"/>
        <v>Jul-18</v>
      </c>
      <c r="O106" s="16" t="s">
        <v>331</v>
      </c>
      <c r="P106" s="18" t="s">
        <v>332</v>
      </c>
      <c r="Q106" s="45">
        <v>3573.39</v>
      </c>
      <c r="R106" s="45">
        <v>1133.5999999999999</v>
      </c>
      <c r="S106" s="18">
        <f t="shared" si="21"/>
        <v>4706.99</v>
      </c>
      <c r="T106" s="64">
        <f t="shared" si="17"/>
        <v>5177.6890000000003</v>
      </c>
      <c r="U106" s="65">
        <v>1960</v>
      </c>
      <c r="V106" s="65"/>
      <c r="W106" s="21">
        <f t="shared" si="18"/>
        <v>1960</v>
      </c>
      <c r="X106" s="22">
        <f t="shared" si="19"/>
        <v>2746.99</v>
      </c>
      <c r="Y106" s="35">
        <f t="shared" si="20"/>
        <v>0.58359801061825067</v>
      </c>
      <c r="Z106" s="20"/>
      <c r="AA106" s="11">
        <f t="shared" si="23"/>
        <v>43300</v>
      </c>
      <c r="AB106" s="20"/>
      <c r="AC106" s="24" t="s">
        <v>69</v>
      </c>
      <c r="AD106" s="10" t="s">
        <v>47</v>
      </c>
      <c r="AE106" s="10">
        <v>43221</v>
      </c>
      <c r="AF106" s="48"/>
      <c r="AG106" s="10">
        <v>43273</v>
      </c>
      <c r="AH106" s="25">
        <f t="shared" si="25"/>
        <v>52</v>
      </c>
      <c r="AK106" s="27"/>
    </row>
    <row r="107" spans="1:37" s="26" customFormat="1" ht="14.25" customHeight="1" x14ac:dyDescent="0.45">
      <c r="A107" s="8" t="s">
        <v>34</v>
      </c>
      <c r="B107" s="8" t="s">
        <v>297</v>
      </c>
      <c r="C107" s="8" t="s">
        <v>36</v>
      </c>
      <c r="D107" s="9" t="s">
        <v>333</v>
      </c>
      <c r="E107" s="9">
        <v>43305</v>
      </c>
      <c r="F107" s="10">
        <v>43272</v>
      </c>
      <c r="G107" s="10">
        <v>43272</v>
      </c>
      <c r="H107" s="14">
        <v>43280</v>
      </c>
      <c r="I107" s="54">
        <v>43293</v>
      </c>
      <c r="J107" s="14">
        <f>G107+14</f>
        <v>43286</v>
      </c>
      <c r="K107" s="15">
        <v>43305</v>
      </c>
      <c r="L107" s="9"/>
      <c r="M107" s="10" t="str">
        <f t="shared" si="14"/>
        <v>Jun-18</v>
      </c>
      <c r="N107" s="10" t="str">
        <f t="shared" si="15"/>
        <v>Jul-18</v>
      </c>
      <c r="O107" s="16" t="s">
        <v>334</v>
      </c>
      <c r="P107" s="18" t="s">
        <v>335</v>
      </c>
      <c r="Q107" s="45">
        <v>7769.35</v>
      </c>
      <c r="R107" s="95">
        <v>-120</v>
      </c>
      <c r="S107" s="18">
        <f t="shared" si="21"/>
        <v>7649.35</v>
      </c>
      <c r="T107" s="64">
        <f t="shared" si="17"/>
        <v>8414.2850000000017</v>
      </c>
      <c r="U107" s="65">
        <v>3003.86</v>
      </c>
      <c r="V107" s="65"/>
      <c r="W107" s="21">
        <f t="shared" si="18"/>
        <v>3003.86</v>
      </c>
      <c r="X107" s="22">
        <f t="shared" si="19"/>
        <v>4645.49</v>
      </c>
      <c r="Y107" s="35">
        <f t="shared" si="20"/>
        <v>0.60730519586631537</v>
      </c>
      <c r="Z107" s="20"/>
      <c r="AA107" s="11">
        <f t="shared" si="23"/>
        <v>43286</v>
      </c>
      <c r="AB107" s="20"/>
      <c r="AC107" s="24" t="s">
        <v>69</v>
      </c>
      <c r="AD107" s="10">
        <v>43217</v>
      </c>
      <c r="AE107" s="10">
        <v>43221</v>
      </c>
      <c r="AF107" s="63">
        <f>AE107-AD107</f>
        <v>4</v>
      </c>
      <c r="AG107" s="10">
        <v>43250</v>
      </c>
      <c r="AH107" s="25">
        <f t="shared" si="25"/>
        <v>29</v>
      </c>
      <c r="AK107" s="27"/>
    </row>
    <row r="108" spans="1:37" s="26" customFormat="1" ht="14.25" customHeight="1" x14ac:dyDescent="0.45">
      <c r="A108" s="8" t="s">
        <v>34</v>
      </c>
      <c r="B108" s="8" t="s">
        <v>336</v>
      </c>
      <c r="C108" s="8" t="s">
        <v>36</v>
      </c>
      <c r="D108" s="9" t="s">
        <v>337</v>
      </c>
      <c r="E108" s="9">
        <v>43287</v>
      </c>
      <c r="F108" s="10">
        <v>43266</v>
      </c>
      <c r="G108" s="10">
        <v>43266</v>
      </c>
      <c r="H108" s="14">
        <v>43266</v>
      </c>
      <c r="I108" s="54">
        <v>43278</v>
      </c>
      <c r="J108" s="14">
        <f>G108+14</f>
        <v>43280</v>
      </c>
      <c r="K108" s="14">
        <v>43286</v>
      </c>
      <c r="L108" s="9"/>
      <c r="M108" s="10" t="str">
        <f t="shared" si="14"/>
        <v>Jun-18</v>
      </c>
      <c r="N108" s="10" t="str">
        <f t="shared" si="15"/>
        <v>Jul-18</v>
      </c>
      <c r="O108" s="16" t="s">
        <v>338</v>
      </c>
      <c r="P108" s="18" t="s">
        <v>339</v>
      </c>
      <c r="Q108" s="45">
        <v>5278.06</v>
      </c>
      <c r="R108" s="45">
        <v>535.66</v>
      </c>
      <c r="S108" s="18">
        <f t="shared" si="21"/>
        <v>5813.72</v>
      </c>
      <c r="T108" s="64">
        <f t="shared" si="17"/>
        <v>6395.0920000000006</v>
      </c>
      <c r="U108" s="65"/>
      <c r="V108" s="65"/>
      <c r="W108" s="21">
        <f t="shared" si="18"/>
        <v>0</v>
      </c>
      <c r="X108" s="22">
        <f t="shared" si="19"/>
        <v>5813.72</v>
      </c>
      <c r="Y108" s="35">
        <f t="shared" si="20"/>
        <v>1</v>
      </c>
      <c r="Z108" s="20"/>
      <c r="AA108" s="11"/>
      <c r="AB108" s="20"/>
      <c r="AC108" s="24" t="s">
        <v>69</v>
      </c>
      <c r="AD108" s="10">
        <v>43217</v>
      </c>
      <c r="AE108" s="10">
        <v>43222</v>
      </c>
      <c r="AF108" s="63">
        <f>AE108-AD108</f>
        <v>5</v>
      </c>
      <c r="AG108" s="10">
        <v>43250</v>
      </c>
      <c r="AH108" s="25">
        <f t="shared" si="25"/>
        <v>28</v>
      </c>
      <c r="AK108" s="27"/>
    </row>
    <row r="109" spans="1:37" s="26" customFormat="1" ht="14.25" customHeight="1" x14ac:dyDescent="0.45">
      <c r="A109" s="28" t="s">
        <v>41</v>
      </c>
      <c r="B109" s="8" t="s">
        <v>35</v>
      </c>
      <c r="C109" s="8" t="s">
        <v>36</v>
      </c>
      <c r="D109" s="9" t="s">
        <v>340</v>
      </c>
      <c r="E109" s="9">
        <v>43370</v>
      </c>
      <c r="F109" s="10">
        <v>43335</v>
      </c>
      <c r="G109" s="10">
        <v>43335</v>
      </c>
      <c r="H109" s="14">
        <v>43214</v>
      </c>
      <c r="I109" s="54">
        <v>43361</v>
      </c>
      <c r="J109" s="14">
        <f>G109+14</f>
        <v>43349</v>
      </c>
      <c r="K109" s="14">
        <v>43370</v>
      </c>
      <c r="L109" s="9"/>
      <c r="M109" s="10" t="str">
        <f t="shared" si="14"/>
        <v>Aug-18</v>
      </c>
      <c r="N109" s="10" t="str">
        <f t="shared" si="15"/>
        <v>Sep-18</v>
      </c>
      <c r="O109" s="16" t="s">
        <v>341</v>
      </c>
      <c r="P109" s="18" t="s">
        <v>342</v>
      </c>
      <c r="Q109" s="45">
        <v>1102.48</v>
      </c>
      <c r="R109" s="45">
        <v>7741.48</v>
      </c>
      <c r="S109" s="18">
        <f t="shared" si="21"/>
        <v>8843.9599999999991</v>
      </c>
      <c r="T109" s="64">
        <f t="shared" si="17"/>
        <v>9728.3559999999998</v>
      </c>
      <c r="U109" s="65"/>
      <c r="V109" s="65"/>
      <c r="W109" s="21">
        <f t="shared" si="18"/>
        <v>0</v>
      </c>
      <c r="X109" s="22">
        <f t="shared" si="19"/>
        <v>8843.9599999999991</v>
      </c>
      <c r="Y109" s="35">
        <f t="shared" si="20"/>
        <v>1</v>
      </c>
      <c r="Z109" s="20"/>
      <c r="AA109" s="11"/>
      <c r="AB109" s="20"/>
      <c r="AC109" s="24" t="s">
        <v>73</v>
      </c>
      <c r="AD109" s="10" t="s">
        <v>47</v>
      </c>
      <c r="AE109" s="10">
        <v>43222</v>
      </c>
      <c r="AF109" s="48"/>
      <c r="AG109" s="10">
        <v>43257</v>
      </c>
      <c r="AH109" s="25">
        <f t="shared" si="25"/>
        <v>35</v>
      </c>
      <c r="AK109" s="27"/>
    </row>
    <row r="110" spans="1:37" s="26" customFormat="1" ht="14.25" customHeight="1" x14ac:dyDescent="0.45">
      <c r="A110" s="28" t="s">
        <v>41</v>
      </c>
      <c r="B110" s="28" t="s">
        <v>42</v>
      </c>
      <c r="C110" s="28" t="s">
        <v>43</v>
      </c>
      <c r="D110" s="9"/>
      <c r="E110" s="9"/>
      <c r="F110" s="10"/>
      <c r="G110" s="10">
        <v>43829</v>
      </c>
      <c r="H110" s="51"/>
      <c r="I110" s="52"/>
      <c r="J110" s="51"/>
      <c r="K110" s="51"/>
      <c r="L110" s="9"/>
      <c r="M110" s="10" t="str">
        <f t="shared" si="14"/>
        <v>Dec-19</v>
      </c>
      <c r="N110" s="10" t="str">
        <f t="shared" si="15"/>
        <v>Jan-00</v>
      </c>
      <c r="O110" s="16" t="s">
        <v>343</v>
      </c>
      <c r="P110" s="18" t="s">
        <v>72</v>
      </c>
      <c r="Q110" s="45">
        <v>1763.74</v>
      </c>
      <c r="R110" s="45"/>
      <c r="S110" s="18">
        <f t="shared" si="21"/>
        <v>1763.74</v>
      </c>
      <c r="T110" s="64">
        <f t="shared" si="17"/>
        <v>1940.1140000000003</v>
      </c>
      <c r="U110" s="65"/>
      <c r="V110" s="65"/>
      <c r="W110" s="21">
        <f t="shared" si="18"/>
        <v>0</v>
      </c>
      <c r="X110" s="22">
        <f t="shared" si="19"/>
        <v>1763.74</v>
      </c>
      <c r="Y110" s="35">
        <f t="shared" si="20"/>
        <v>1</v>
      </c>
      <c r="Z110" s="20"/>
      <c r="AA110" s="11"/>
      <c r="AB110" s="20"/>
      <c r="AC110" s="24" t="s">
        <v>73</v>
      </c>
      <c r="AD110" s="10" t="s">
        <v>47</v>
      </c>
      <c r="AE110" s="10">
        <v>43222</v>
      </c>
      <c r="AF110" s="48"/>
      <c r="AG110" s="10">
        <v>43280</v>
      </c>
      <c r="AH110" s="25">
        <f t="shared" si="25"/>
        <v>58</v>
      </c>
      <c r="AK110" s="27"/>
    </row>
    <row r="111" spans="1:37" s="26" customFormat="1" ht="14.25" customHeight="1" x14ac:dyDescent="0.45">
      <c r="A111" s="8" t="s">
        <v>34</v>
      </c>
      <c r="B111" s="8" t="s">
        <v>336</v>
      </c>
      <c r="C111" s="8" t="s">
        <v>36</v>
      </c>
      <c r="D111" s="9" t="s">
        <v>344</v>
      </c>
      <c r="E111" s="9">
        <v>43269</v>
      </c>
      <c r="F111" s="10">
        <v>43223</v>
      </c>
      <c r="G111" s="10">
        <v>43250</v>
      </c>
      <c r="H111" s="67"/>
      <c r="I111" s="68"/>
      <c r="J111" s="77">
        <v>43265</v>
      </c>
      <c r="K111" s="14">
        <v>43270</v>
      </c>
      <c r="L111" s="9"/>
      <c r="M111" s="10" t="str">
        <f t="shared" si="14"/>
        <v>May-18</v>
      </c>
      <c r="N111" s="10" t="str">
        <f t="shared" si="15"/>
        <v>Jun-18</v>
      </c>
      <c r="O111" s="16" t="s">
        <v>345</v>
      </c>
      <c r="P111" s="18" t="s">
        <v>346</v>
      </c>
      <c r="Q111" s="45">
        <v>3243.26</v>
      </c>
      <c r="R111" s="73"/>
      <c r="S111" s="18">
        <f t="shared" si="21"/>
        <v>3243.26</v>
      </c>
      <c r="T111" s="64">
        <f t="shared" si="17"/>
        <v>3567.5860000000007</v>
      </c>
      <c r="U111" s="65">
        <v>2358.27</v>
      </c>
      <c r="V111" s="65"/>
      <c r="W111" s="21">
        <f t="shared" si="18"/>
        <v>2358.27</v>
      </c>
      <c r="X111" s="22">
        <f t="shared" si="19"/>
        <v>884.99000000000024</v>
      </c>
      <c r="Y111" s="35">
        <f t="shared" si="20"/>
        <v>0.27287050683571473</v>
      </c>
      <c r="Z111" s="20"/>
      <c r="AA111" s="11"/>
      <c r="AB111" s="20"/>
      <c r="AC111" s="24" t="s">
        <v>347</v>
      </c>
      <c r="AD111" s="10">
        <v>43223</v>
      </c>
      <c r="AE111" s="10">
        <v>43250</v>
      </c>
      <c r="AF111" s="63">
        <f>AE111-AD111</f>
        <v>27</v>
      </c>
      <c r="AG111" s="10">
        <v>43283</v>
      </c>
      <c r="AH111" s="25">
        <f t="shared" si="25"/>
        <v>33</v>
      </c>
      <c r="AK111" s="27"/>
    </row>
    <row r="112" spans="1:37" s="26" customFormat="1" ht="14.25" customHeight="1" x14ac:dyDescent="0.45">
      <c r="A112" s="8" t="s">
        <v>34</v>
      </c>
      <c r="B112" s="8" t="s">
        <v>297</v>
      </c>
      <c r="C112" s="8" t="s">
        <v>36</v>
      </c>
      <c r="D112" s="9" t="s">
        <v>348</v>
      </c>
      <c r="E112" s="9">
        <v>43287</v>
      </c>
      <c r="F112" s="10">
        <v>43257</v>
      </c>
      <c r="G112" s="10">
        <v>43266</v>
      </c>
      <c r="H112" s="14">
        <v>43269</v>
      </c>
      <c r="I112" s="54">
        <v>43271</v>
      </c>
      <c r="J112" s="14">
        <f>G112+14</f>
        <v>43280</v>
      </c>
      <c r="K112" s="14">
        <v>43291</v>
      </c>
      <c r="L112" s="9"/>
      <c r="M112" s="10" t="str">
        <f t="shared" si="14"/>
        <v>Jun-18</v>
      </c>
      <c r="N112" s="10" t="str">
        <f t="shared" si="15"/>
        <v>Jul-18</v>
      </c>
      <c r="O112" s="16" t="s">
        <v>349</v>
      </c>
      <c r="P112" s="18" t="s">
        <v>350</v>
      </c>
      <c r="Q112" s="45">
        <v>8260.7999999999993</v>
      </c>
      <c r="R112" s="45">
        <v>8719.58</v>
      </c>
      <c r="S112" s="18">
        <f t="shared" si="21"/>
        <v>16980.379999999997</v>
      </c>
      <c r="T112" s="64">
        <f t="shared" si="17"/>
        <v>18678.417999999998</v>
      </c>
      <c r="U112" s="65"/>
      <c r="V112" s="65"/>
      <c r="W112" s="21">
        <f t="shared" si="18"/>
        <v>0</v>
      </c>
      <c r="X112" s="22">
        <f t="shared" si="19"/>
        <v>16980.379999999997</v>
      </c>
      <c r="Y112" s="35">
        <f t="shared" si="20"/>
        <v>1</v>
      </c>
      <c r="Z112" s="20"/>
      <c r="AA112" s="11"/>
      <c r="AB112" s="20"/>
      <c r="AC112" s="24" t="s">
        <v>347</v>
      </c>
      <c r="AD112" s="10">
        <v>43249</v>
      </c>
      <c r="AE112" s="10">
        <v>43265</v>
      </c>
      <c r="AF112" s="63">
        <f>AE112-AD112</f>
        <v>16</v>
      </c>
      <c r="AG112" s="10">
        <v>43283</v>
      </c>
      <c r="AH112" s="25">
        <f t="shared" si="25"/>
        <v>18</v>
      </c>
      <c r="AK112" s="27"/>
    </row>
    <row r="113" spans="1:37" s="26" customFormat="1" ht="14.25" customHeight="1" x14ac:dyDescent="0.45">
      <c r="A113" s="28" t="s">
        <v>41</v>
      </c>
      <c r="B113" s="8" t="s">
        <v>35</v>
      </c>
      <c r="C113" s="8" t="s">
        <v>36</v>
      </c>
      <c r="D113" s="9" t="s">
        <v>351</v>
      </c>
      <c r="E113" s="9">
        <v>43257</v>
      </c>
      <c r="F113" s="10">
        <v>43238</v>
      </c>
      <c r="G113" s="10">
        <v>43238</v>
      </c>
      <c r="H113" s="67"/>
      <c r="I113" s="68"/>
      <c r="J113" s="14">
        <v>43251</v>
      </c>
      <c r="K113" s="14">
        <v>43256</v>
      </c>
      <c r="L113" s="9"/>
      <c r="M113" s="10" t="str">
        <f t="shared" si="14"/>
        <v>May-18</v>
      </c>
      <c r="N113" s="10" t="str">
        <f t="shared" si="15"/>
        <v>Jun-18</v>
      </c>
      <c r="O113" s="16" t="s">
        <v>352</v>
      </c>
      <c r="P113" s="18" t="s">
        <v>353</v>
      </c>
      <c r="Q113" s="45">
        <v>2366</v>
      </c>
      <c r="R113" s="73"/>
      <c r="S113" s="18">
        <f t="shared" si="21"/>
        <v>2366</v>
      </c>
      <c r="T113" s="64">
        <f t="shared" si="17"/>
        <v>2602.6000000000004</v>
      </c>
      <c r="U113" s="65">
        <v>1129.72</v>
      </c>
      <c r="V113" s="65"/>
      <c r="W113" s="21">
        <f t="shared" si="18"/>
        <v>1129.72</v>
      </c>
      <c r="X113" s="22">
        <f t="shared" si="19"/>
        <v>1236.28</v>
      </c>
      <c r="Y113" s="35">
        <f t="shared" si="20"/>
        <v>0.52251901944209633</v>
      </c>
      <c r="Z113" s="20"/>
      <c r="AA113" s="11"/>
      <c r="AB113" s="20"/>
      <c r="AC113" s="24" t="s">
        <v>73</v>
      </c>
      <c r="AD113" s="10" t="s">
        <v>47</v>
      </c>
      <c r="AE113" s="10">
        <v>43223</v>
      </c>
      <c r="AF113" s="48"/>
      <c r="AG113" s="10">
        <v>43278</v>
      </c>
      <c r="AH113" s="25">
        <f t="shared" si="25"/>
        <v>55</v>
      </c>
      <c r="AK113" s="27"/>
    </row>
    <row r="114" spans="1:37" s="26" customFormat="1" ht="14.25" customHeight="1" x14ac:dyDescent="0.45">
      <c r="A114" s="28" t="s">
        <v>41</v>
      </c>
      <c r="B114" s="8" t="s">
        <v>35</v>
      </c>
      <c r="C114" s="8" t="s">
        <v>36</v>
      </c>
      <c r="D114" s="9" t="s">
        <v>354</v>
      </c>
      <c r="E114" s="9">
        <v>43280</v>
      </c>
      <c r="F114" s="10">
        <v>43234</v>
      </c>
      <c r="G114" s="10">
        <v>43235</v>
      </c>
      <c r="H114" s="14">
        <v>43250</v>
      </c>
      <c r="I114" s="54">
        <v>43259</v>
      </c>
      <c r="J114" s="14">
        <f>G114+14</f>
        <v>43249</v>
      </c>
      <c r="K114" s="15">
        <v>43273</v>
      </c>
      <c r="L114" s="9"/>
      <c r="M114" s="10" t="str">
        <f t="shared" si="14"/>
        <v>May-18</v>
      </c>
      <c r="N114" s="10" t="str">
        <f t="shared" si="15"/>
        <v>Jun-18</v>
      </c>
      <c r="O114" s="16" t="s">
        <v>355</v>
      </c>
      <c r="P114" s="18" t="s">
        <v>356</v>
      </c>
      <c r="Q114" s="45">
        <v>285.60000000000002</v>
      </c>
      <c r="R114" s="45">
        <v>294.53999999999996</v>
      </c>
      <c r="S114" s="18">
        <f t="shared" si="21"/>
        <v>580.14</v>
      </c>
      <c r="T114" s="64">
        <f t="shared" si="17"/>
        <v>638.154</v>
      </c>
      <c r="U114" s="65"/>
      <c r="V114" s="65"/>
      <c r="W114" s="21">
        <f t="shared" si="18"/>
        <v>0</v>
      </c>
      <c r="X114" s="22">
        <f t="shared" si="19"/>
        <v>580.14</v>
      </c>
      <c r="Y114" s="35">
        <f t="shared" si="20"/>
        <v>1</v>
      </c>
      <c r="Z114" s="20"/>
      <c r="AA114" s="11"/>
      <c r="AB114" s="20"/>
      <c r="AC114" s="24" t="s">
        <v>61</v>
      </c>
      <c r="AD114" s="10" t="s">
        <v>47</v>
      </c>
      <c r="AE114" s="10">
        <v>43223</v>
      </c>
      <c r="AF114" s="48"/>
      <c r="AG114" s="10">
        <v>43250</v>
      </c>
      <c r="AH114" s="25">
        <f t="shared" si="25"/>
        <v>27</v>
      </c>
      <c r="AK114" s="27"/>
    </row>
    <row r="115" spans="1:37" s="26" customFormat="1" ht="14.25" customHeight="1" x14ac:dyDescent="0.45">
      <c r="A115" s="8" t="s">
        <v>34</v>
      </c>
      <c r="B115" s="8" t="s">
        <v>357</v>
      </c>
      <c r="C115" s="8" t="s">
        <v>36</v>
      </c>
      <c r="D115" s="9" t="s">
        <v>358</v>
      </c>
      <c r="E115" s="9">
        <v>43321</v>
      </c>
      <c r="F115" s="10">
        <v>43297</v>
      </c>
      <c r="G115" s="10">
        <v>43297</v>
      </c>
      <c r="H115" s="14">
        <v>43297</v>
      </c>
      <c r="I115" s="54">
        <v>43307</v>
      </c>
      <c r="J115" s="14">
        <f>G115+14</f>
        <v>43311</v>
      </c>
      <c r="K115" s="14">
        <v>43321</v>
      </c>
      <c r="L115" s="9"/>
      <c r="M115" s="10" t="str">
        <f t="shared" si="14"/>
        <v>Jul-18</v>
      </c>
      <c r="N115" s="10" t="str">
        <f t="shared" si="15"/>
        <v>Aug-18</v>
      </c>
      <c r="O115" s="96" t="s">
        <v>359</v>
      </c>
      <c r="P115" s="18" t="s">
        <v>360</v>
      </c>
      <c r="Q115" s="45">
        <v>10564.933999999999</v>
      </c>
      <c r="R115" s="45">
        <v>3577.89</v>
      </c>
      <c r="S115" s="18">
        <f t="shared" si="21"/>
        <v>14142.823999999999</v>
      </c>
      <c r="T115" s="64">
        <f t="shared" si="17"/>
        <v>15557.106400000001</v>
      </c>
      <c r="U115" s="65">
        <v>7339.16</v>
      </c>
      <c r="V115" s="65"/>
      <c r="W115" s="21">
        <f t="shared" si="18"/>
        <v>7339.16</v>
      </c>
      <c r="X115" s="22">
        <f t="shared" si="19"/>
        <v>6803.6639999999989</v>
      </c>
      <c r="Y115" s="35">
        <f t="shared" si="20"/>
        <v>0.4810682788670777</v>
      </c>
      <c r="Z115" s="20"/>
      <c r="AA115" s="11"/>
      <c r="AB115" s="20"/>
      <c r="AC115" s="24" t="s">
        <v>55</v>
      </c>
      <c r="AD115" s="10">
        <v>43221</v>
      </c>
      <c r="AE115" s="10">
        <v>43227</v>
      </c>
      <c r="AF115" s="63">
        <f>AE115-AD115</f>
        <v>6</v>
      </c>
      <c r="AG115" s="10">
        <v>43262</v>
      </c>
      <c r="AH115" s="25">
        <f t="shared" si="25"/>
        <v>35</v>
      </c>
      <c r="AK115" s="27"/>
    </row>
    <row r="116" spans="1:37" s="26" customFormat="1" ht="14.25" customHeight="1" x14ac:dyDescent="0.45">
      <c r="A116" s="28" t="s">
        <v>41</v>
      </c>
      <c r="B116" s="8" t="s">
        <v>35</v>
      </c>
      <c r="C116" s="8" t="s">
        <v>36</v>
      </c>
      <c r="D116" s="9" t="s">
        <v>361</v>
      </c>
      <c r="E116" s="9">
        <v>43483</v>
      </c>
      <c r="F116" s="10">
        <v>43585</v>
      </c>
      <c r="G116" s="10">
        <v>43448</v>
      </c>
      <c r="H116" s="67"/>
      <c r="I116" s="68"/>
      <c r="J116" s="15">
        <f>G116+14</f>
        <v>43462</v>
      </c>
      <c r="K116" s="15">
        <v>43489</v>
      </c>
      <c r="L116" s="9"/>
      <c r="M116" s="10" t="str">
        <f t="shared" si="14"/>
        <v>Dec-18</v>
      </c>
      <c r="N116" s="10" t="str">
        <f t="shared" si="15"/>
        <v>Jan-19</v>
      </c>
      <c r="O116" s="16" t="s">
        <v>362</v>
      </c>
      <c r="P116" s="18" t="s">
        <v>363</v>
      </c>
      <c r="Q116" s="45">
        <v>2570.4</v>
      </c>
      <c r="R116" s="73"/>
      <c r="S116" s="18">
        <f t="shared" si="21"/>
        <v>2570.4</v>
      </c>
      <c r="T116" s="64">
        <f t="shared" si="17"/>
        <v>2827.4400000000005</v>
      </c>
      <c r="U116" s="65"/>
      <c r="V116" s="65"/>
      <c r="W116" s="21">
        <f t="shared" si="18"/>
        <v>0</v>
      </c>
      <c r="X116" s="22">
        <f t="shared" si="19"/>
        <v>2570.4</v>
      </c>
      <c r="Y116" s="35">
        <f t="shared" si="20"/>
        <v>1</v>
      </c>
      <c r="Z116" s="20"/>
      <c r="AA116" s="11"/>
      <c r="AB116" s="20"/>
      <c r="AC116" s="24" t="s">
        <v>61</v>
      </c>
      <c r="AD116" s="10" t="s">
        <v>47</v>
      </c>
      <c r="AE116" s="10">
        <v>43227</v>
      </c>
      <c r="AF116" s="48"/>
      <c r="AG116" s="10">
        <v>43277</v>
      </c>
      <c r="AH116" s="25">
        <f t="shared" si="25"/>
        <v>50</v>
      </c>
      <c r="AK116" s="27"/>
    </row>
    <row r="117" spans="1:37" s="26" customFormat="1" ht="14.25" customHeight="1" x14ac:dyDescent="0.45">
      <c r="A117" s="28" t="s">
        <v>41</v>
      </c>
      <c r="B117" s="8" t="s">
        <v>35</v>
      </c>
      <c r="C117" s="8" t="s">
        <v>36</v>
      </c>
      <c r="D117" s="9" t="s">
        <v>364</v>
      </c>
      <c r="E117" s="9">
        <v>43308</v>
      </c>
      <c r="F117" s="10">
        <v>43285</v>
      </c>
      <c r="G117" s="10">
        <v>43285</v>
      </c>
      <c r="H117" s="14">
        <v>43290</v>
      </c>
      <c r="I117" s="54">
        <v>43300</v>
      </c>
      <c r="J117" s="14">
        <f>G117+14</f>
        <v>43299</v>
      </c>
      <c r="K117" s="14">
        <v>43312</v>
      </c>
      <c r="L117" s="9"/>
      <c r="M117" s="10" t="str">
        <f t="shared" si="14"/>
        <v>Jul-18</v>
      </c>
      <c r="N117" s="10" t="str">
        <f t="shared" si="15"/>
        <v>Jul-18</v>
      </c>
      <c r="O117" s="16" t="s">
        <v>365</v>
      </c>
      <c r="P117" s="18" t="s">
        <v>366</v>
      </c>
      <c r="Q117" s="45">
        <v>611.63</v>
      </c>
      <c r="R117" s="45">
        <v>530.88</v>
      </c>
      <c r="S117" s="18">
        <f t="shared" si="21"/>
        <v>1142.51</v>
      </c>
      <c r="T117" s="64">
        <f t="shared" si="17"/>
        <v>1256.7610000000002</v>
      </c>
      <c r="U117" s="65"/>
      <c r="V117" s="65"/>
      <c r="W117" s="21">
        <f t="shared" si="18"/>
        <v>0</v>
      </c>
      <c r="X117" s="22">
        <f t="shared" si="19"/>
        <v>1142.51</v>
      </c>
      <c r="Y117" s="35">
        <f t="shared" si="20"/>
        <v>1</v>
      </c>
      <c r="Z117" s="20"/>
      <c r="AA117" s="11"/>
      <c r="AB117" s="20"/>
      <c r="AC117" s="24" t="s">
        <v>69</v>
      </c>
      <c r="AD117" s="10" t="s">
        <v>47</v>
      </c>
      <c r="AE117" s="10">
        <v>43227</v>
      </c>
      <c r="AF117" s="48"/>
      <c r="AG117" s="10">
        <v>43314</v>
      </c>
      <c r="AH117" s="25">
        <f t="shared" si="25"/>
        <v>87</v>
      </c>
      <c r="AK117" s="27"/>
    </row>
    <row r="118" spans="1:37" s="26" customFormat="1" ht="14.25" customHeight="1" x14ac:dyDescent="0.45">
      <c r="A118" s="28" t="s">
        <v>367</v>
      </c>
      <c r="B118" s="8" t="s">
        <v>35</v>
      </c>
      <c r="C118" s="8" t="s">
        <v>36</v>
      </c>
      <c r="D118" s="9" t="s">
        <v>368</v>
      </c>
      <c r="E118" s="9">
        <v>43265</v>
      </c>
      <c r="F118" s="9">
        <v>43265</v>
      </c>
      <c r="G118" s="10">
        <v>43259</v>
      </c>
      <c r="H118" s="67"/>
      <c r="I118" s="68"/>
      <c r="J118" s="67"/>
      <c r="K118" s="14">
        <v>43265</v>
      </c>
      <c r="L118" s="9"/>
      <c r="M118" s="10" t="str">
        <f t="shared" si="14"/>
        <v>Jun-18</v>
      </c>
      <c r="N118" s="10" t="str">
        <f t="shared" si="15"/>
        <v>Jun-18</v>
      </c>
      <c r="O118" s="97" t="s">
        <v>369</v>
      </c>
      <c r="P118" s="98" t="s">
        <v>370</v>
      </c>
      <c r="Q118" s="99">
        <v>6924.6959999999999</v>
      </c>
      <c r="R118" s="73"/>
      <c r="S118" s="45">
        <f t="shared" si="21"/>
        <v>6924.6959999999999</v>
      </c>
      <c r="T118" s="64">
        <f t="shared" si="17"/>
        <v>7617.1656000000003</v>
      </c>
      <c r="U118" s="100"/>
      <c r="V118" s="100"/>
      <c r="W118" s="21">
        <f t="shared" si="18"/>
        <v>0</v>
      </c>
      <c r="X118" s="22">
        <f t="shared" si="19"/>
        <v>6924.6959999999999</v>
      </c>
      <c r="Y118" s="35">
        <f t="shared" si="20"/>
        <v>1</v>
      </c>
      <c r="Z118" s="20"/>
      <c r="AA118" s="11"/>
      <c r="AB118" s="20"/>
      <c r="AC118" s="24" t="s">
        <v>371</v>
      </c>
      <c r="AD118" s="10" t="s">
        <v>47</v>
      </c>
      <c r="AE118" s="70"/>
      <c r="AF118" s="71"/>
      <c r="AG118" s="70"/>
      <c r="AH118" s="72"/>
      <c r="AK118" s="27"/>
    </row>
    <row r="119" spans="1:37" s="26" customFormat="1" ht="14.25" customHeight="1" x14ac:dyDescent="0.45">
      <c r="A119" s="28" t="s">
        <v>367</v>
      </c>
      <c r="B119" s="8" t="s">
        <v>35</v>
      </c>
      <c r="C119" s="8" t="s">
        <v>36</v>
      </c>
      <c r="D119" s="9" t="s">
        <v>372</v>
      </c>
      <c r="E119" s="9">
        <v>43402</v>
      </c>
      <c r="F119" s="10">
        <v>43378</v>
      </c>
      <c r="G119" s="10">
        <v>43378</v>
      </c>
      <c r="H119" s="14">
        <v>43378</v>
      </c>
      <c r="I119" s="54">
        <v>43384</v>
      </c>
      <c r="J119" s="14">
        <f>G119+14</f>
        <v>43392</v>
      </c>
      <c r="K119" s="14">
        <v>43402</v>
      </c>
      <c r="L119" s="9"/>
      <c r="M119" s="10" t="str">
        <f t="shared" si="14"/>
        <v>Oct-18</v>
      </c>
      <c r="N119" s="10" t="str">
        <f t="shared" si="15"/>
        <v>Oct-18</v>
      </c>
      <c r="O119" s="97" t="s">
        <v>369</v>
      </c>
      <c r="P119" s="97" t="s">
        <v>370</v>
      </c>
      <c r="Q119" s="99">
        <f>22641.36-Q118</f>
        <v>15716.664000000001</v>
      </c>
      <c r="R119" s="45">
        <v>33253.06</v>
      </c>
      <c r="S119" s="45">
        <f t="shared" si="21"/>
        <v>48969.724000000002</v>
      </c>
      <c r="T119" s="64">
        <f t="shared" si="17"/>
        <v>53866.696400000008</v>
      </c>
      <c r="U119" s="65">
        <v>25274</v>
      </c>
      <c r="V119" s="65"/>
      <c r="W119" s="21">
        <f t="shared" si="18"/>
        <v>25274</v>
      </c>
      <c r="X119" s="22">
        <f t="shared" si="19"/>
        <v>23695.724000000002</v>
      </c>
      <c r="Y119" s="35">
        <f t="shared" si="20"/>
        <v>0.48388518587525631</v>
      </c>
      <c r="Z119" s="20"/>
      <c r="AA119" s="11"/>
      <c r="AB119" s="20"/>
      <c r="AC119" s="24" t="s">
        <v>371</v>
      </c>
      <c r="AD119" s="10" t="s">
        <v>47</v>
      </c>
      <c r="AE119" s="70"/>
      <c r="AF119" s="71"/>
      <c r="AG119" s="70"/>
      <c r="AH119" s="72"/>
      <c r="AK119" s="27"/>
    </row>
    <row r="120" spans="1:37" s="26" customFormat="1" ht="14.25" customHeight="1" x14ac:dyDescent="0.45">
      <c r="A120" s="28" t="s">
        <v>41</v>
      </c>
      <c r="B120" s="8" t="s">
        <v>373</v>
      </c>
      <c r="C120" s="28" t="s">
        <v>43</v>
      </c>
      <c r="D120" s="9"/>
      <c r="E120" s="9"/>
      <c r="F120" s="10"/>
      <c r="G120" s="10">
        <v>43615</v>
      </c>
      <c r="H120" s="51"/>
      <c r="I120" s="52"/>
      <c r="J120" s="51"/>
      <c r="K120" s="51"/>
      <c r="L120" s="9"/>
      <c r="M120" s="10" t="str">
        <f t="shared" si="14"/>
        <v>May-19</v>
      </c>
      <c r="N120" s="10" t="str">
        <f t="shared" si="15"/>
        <v>Jan-00</v>
      </c>
      <c r="O120" s="17" t="s">
        <v>374</v>
      </c>
      <c r="P120" s="18" t="s">
        <v>375</v>
      </c>
      <c r="Q120" s="45">
        <v>2655.28</v>
      </c>
      <c r="R120" s="45"/>
      <c r="S120" s="45">
        <f t="shared" si="21"/>
        <v>2655.28</v>
      </c>
      <c r="T120" s="64">
        <f t="shared" si="17"/>
        <v>2920.8080000000004</v>
      </c>
      <c r="U120" s="65">
        <v>5927.53</v>
      </c>
      <c r="V120" s="65"/>
      <c r="W120" s="78">
        <f t="shared" si="18"/>
        <v>5927.53</v>
      </c>
      <c r="X120" s="22">
        <f t="shared" si="19"/>
        <v>-3272.2499999999995</v>
      </c>
      <c r="Y120" s="35">
        <f t="shared" si="20"/>
        <v>-1.2323559097345664</v>
      </c>
      <c r="Z120" s="20"/>
      <c r="AA120" s="11"/>
      <c r="AB120" s="20"/>
      <c r="AC120" s="24" t="s">
        <v>73</v>
      </c>
      <c r="AD120" s="10" t="s">
        <v>47</v>
      </c>
      <c r="AE120" s="10">
        <v>43242</v>
      </c>
      <c r="AF120" s="48"/>
      <c r="AG120" s="10">
        <v>43318</v>
      </c>
      <c r="AH120" s="25">
        <f>AG120-AE120</f>
        <v>76</v>
      </c>
      <c r="AK120" s="27"/>
    </row>
    <row r="121" spans="1:37" s="26" customFormat="1" ht="14.25" customHeight="1" x14ac:dyDescent="0.45">
      <c r="A121" s="28" t="s">
        <v>367</v>
      </c>
      <c r="B121" s="8" t="s">
        <v>35</v>
      </c>
      <c r="C121" s="8" t="s">
        <v>36</v>
      </c>
      <c r="D121" s="9" t="s">
        <v>376</v>
      </c>
      <c r="E121" s="9">
        <v>43389</v>
      </c>
      <c r="F121" s="10">
        <v>43336</v>
      </c>
      <c r="G121" s="10">
        <v>43336</v>
      </c>
      <c r="H121" s="14">
        <v>43349</v>
      </c>
      <c r="I121" s="54">
        <v>43357</v>
      </c>
      <c r="J121" s="14">
        <f>G121+14</f>
        <v>43350</v>
      </c>
      <c r="K121" s="14">
        <v>43391</v>
      </c>
      <c r="L121" s="9"/>
      <c r="M121" s="10" t="str">
        <f t="shared" si="14"/>
        <v>Aug-18</v>
      </c>
      <c r="N121" s="10" t="str">
        <f t="shared" si="15"/>
        <v>Oct-18</v>
      </c>
      <c r="O121" s="97" t="s">
        <v>377</v>
      </c>
      <c r="P121" s="98" t="s">
        <v>370</v>
      </c>
      <c r="Q121" s="99">
        <f>28507.28-Q122</f>
        <v>19955.095999999998</v>
      </c>
      <c r="R121" s="45">
        <v>120118.47</v>
      </c>
      <c r="S121" s="45">
        <f t="shared" si="21"/>
        <v>140073.56599999999</v>
      </c>
      <c r="T121" s="64">
        <f t="shared" si="17"/>
        <v>154080.92259999999</v>
      </c>
      <c r="U121" s="65">
        <f>3000+34920</f>
        <v>37920</v>
      </c>
      <c r="V121" s="65">
        <v>3861.3399999999997</v>
      </c>
      <c r="W121" s="21">
        <f t="shared" si="18"/>
        <v>41781.339999999997</v>
      </c>
      <c r="X121" s="22">
        <f t="shared" si="19"/>
        <v>98292.225999999995</v>
      </c>
      <c r="Y121" s="35">
        <f t="shared" si="20"/>
        <v>0.70171859549859683</v>
      </c>
      <c r="Z121" s="20"/>
      <c r="AA121" s="11"/>
      <c r="AB121" s="20"/>
      <c r="AC121" s="24" t="s">
        <v>371</v>
      </c>
      <c r="AD121" s="10" t="s">
        <v>47</v>
      </c>
      <c r="AE121" s="70"/>
      <c r="AF121" s="71"/>
      <c r="AG121" s="70"/>
      <c r="AH121" s="72"/>
      <c r="AK121" s="27"/>
    </row>
    <row r="122" spans="1:37" s="26" customFormat="1" ht="14.25" customHeight="1" x14ac:dyDescent="0.45">
      <c r="A122" s="28" t="s">
        <v>367</v>
      </c>
      <c r="B122" s="8" t="s">
        <v>35</v>
      </c>
      <c r="C122" s="8" t="s">
        <v>378</v>
      </c>
      <c r="D122" s="9" t="s">
        <v>379</v>
      </c>
      <c r="E122" s="9">
        <v>43265</v>
      </c>
      <c r="F122" s="9">
        <v>43265</v>
      </c>
      <c r="G122" s="10">
        <v>43259</v>
      </c>
      <c r="H122" s="67"/>
      <c r="I122" s="68"/>
      <c r="J122" s="67"/>
      <c r="K122" s="14">
        <v>43265</v>
      </c>
      <c r="L122" s="9"/>
      <c r="M122" s="10" t="str">
        <f t="shared" si="14"/>
        <v>Jun-18</v>
      </c>
      <c r="N122" s="10" t="str">
        <f t="shared" si="15"/>
        <v>Jun-18</v>
      </c>
      <c r="O122" s="97" t="s">
        <v>377</v>
      </c>
      <c r="P122" s="97" t="s">
        <v>370</v>
      </c>
      <c r="Q122" s="99">
        <v>8552.1839999999993</v>
      </c>
      <c r="R122" s="73"/>
      <c r="S122" s="45">
        <f t="shared" si="21"/>
        <v>8552.1839999999993</v>
      </c>
      <c r="T122" s="64">
        <f t="shared" si="17"/>
        <v>9407.4024000000009</v>
      </c>
      <c r="U122" s="100"/>
      <c r="V122" s="100"/>
      <c r="W122" s="21">
        <f t="shared" si="18"/>
        <v>0</v>
      </c>
      <c r="X122" s="22">
        <f t="shared" si="19"/>
        <v>8552.1839999999993</v>
      </c>
      <c r="Y122" s="35">
        <f t="shared" si="20"/>
        <v>1</v>
      </c>
      <c r="Z122" s="20"/>
      <c r="AA122" s="11"/>
      <c r="AB122" s="20"/>
      <c r="AC122" s="24" t="s">
        <v>371</v>
      </c>
      <c r="AD122" s="10" t="s">
        <v>47</v>
      </c>
      <c r="AE122" s="70"/>
      <c r="AF122" s="71"/>
      <c r="AG122" s="70"/>
      <c r="AH122" s="72"/>
      <c r="AK122" s="27"/>
    </row>
    <row r="123" spans="1:37" s="26" customFormat="1" ht="14.25" customHeight="1" x14ac:dyDescent="0.45">
      <c r="A123" s="28" t="s">
        <v>367</v>
      </c>
      <c r="B123" s="8" t="s">
        <v>35</v>
      </c>
      <c r="C123" s="8" t="s">
        <v>378</v>
      </c>
      <c r="D123" s="9" t="s">
        <v>380</v>
      </c>
      <c r="E123" s="9">
        <v>43360</v>
      </c>
      <c r="F123" s="10">
        <v>43321</v>
      </c>
      <c r="G123" s="10">
        <v>43321</v>
      </c>
      <c r="H123" s="14">
        <v>43332</v>
      </c>
      <c r="I123" s="54">
        <v>43334</v>
      </c>
      <c r="J123" s="15">
        <v>43342</v>
      </c>
      <c r="K123" s="14">
        <v>43361</v>
      </c>
      <c r="L123" s="9"/>
      <c r="M123" s="10" t="str">
        <f t="shared" si="14"/>
        <v>Aug-18</v>
      </c>
      <c r="N123" s="10" t="str">
        <f t="shared" si="15"/>
        <v>Sep-18</v>
      </c>
      <c r="O123" s="97" t="s">
        <v>381</v>
      </c>
      <c r="P123" s="98" t="s">
        <v>370</v>
      </c>
      <c r="Q123" s="99">
        <f>20027.2-Q124</f>
        <v>14019.04</v>
      </c>
      <c r="R123" s="45">
        <v>43239.62</v>
      </c>
      <c r="S123" s="45">
        <f t="shared" si="21"/>
        <v>57258.66</v>
      </c>
      <c r="T123" s="64">
        <f t="shared" si="17"/>
        <v>62984.526000000005</v>
      </c>
      <c r="U123" s="65">
        <v>34165</v>
      </c>
      <c r="V123" s="65"/>
      <c r="W123" s="21">
        <f t="shared" si="18"/>
        <v>34165</v>
      </c>
      <c r="X123" s="22">
        <f t="shared" si="19"/>
        <v>23093.660000000003</v>
      </c>
      <c r="Y123" s="35">
        <f t="shared" si="20"/>
        <v>0.40332169841208304</v>
      </c>
      <c r="Z123" s="20"/>
      <c r="AA123" s="11"/>
      <c r="AB123" s="20"/>
      <c r="AC123" s="24" t="s">
        <v>371</v>
      </c>
      <c r="AD123" s="10" t="s">
        <v>47</v>
      </c>
      <c r="AE123" s="70"/>
      <c r="AF123" s="71"/>
      <c r="AG123" s="70"/>
      <c r="AH123" s="72"/>
      <c r="AK123" s="27"/>
    </row>
    <row r="124" spans="1:37" s="26" customFormat="1" ht="14.25" customHeight="1" x14ac:dyDescent="0.45">
      <c r="A124" s="28" t="s">
        <v>367</v>
      </c>
      <c r="B124" s="8" t="s">
        <v>35</v>
      </c>
      <c r="C124" s="8" t="s">
        <v>378</v>
      </c>
      <c r="D124" s="9" t="s">
        <v>382</v>
      </c>
      <c r="E124" s="9">
        <v>43265</v>
      </c>
      <c r="F124" s="9">
        <v>43265</v>
      </c>
      <c r="G124" s="10">
        <v>43259</v>
      </c>
      <c r="H124" s="67"/>
      <c r="I124" s="68"/>
      <c r="J124" s="67"/>
      <c r="K124" s="14">
        <v>43265</v>
      </c>
      <c r="L124" s="9"/>
      <c r="M124" s="10" t="str">
        <f t="shared" si="14"/>
        <v>Jun-18</v>
      </c>
      <c r="N124" s="10" t="str">
        <f t="shared" si="15"/>
        <v>Jun-18</v>
      </c>
      <c r="O124" s="97" t="s">
        <v>381</v>
      </c>
      <c r="P124" s="97" t="s">
        <v>370</v>
      </c>
      <c r="Q124" s="99">
        <v>6008.1599999999989</v>
      </c>
      <c r="R124" s="73"/>
      <c r="S124" s="45">
        <f t="shared" si="21"/>
        <v>6008.1599999999989</v>
      </c>
      <c r="T124" s="64">
        <f t="shared" si="17"/>
        <v>6608.9759999999997</v>
      </c>
      <c r="U124" s="100"/>
      <c r="V124" s="100"/>
      <c r="W124" s="21">
        <f t="shared" si="18"/>
        <v>0</v>
      </c>
      <c r="X124" s="22">
        <f t="shared" si="19"/>
        <v>6008.1599999999989</v>
      </c>
      <c r="Y124" s="35">
        <f t="shared" si="20"/>
        <v>1</v>
      </c>
      <c r="Z124" s="20"/>
      <c r="AA124" s="11"/>
      <c r="AB124" s="20"/>
      <c r="AC124" s="24" t="s">
        <v>371</v>
      </c>
      <c r="AD124" s="10" t="s">
        <v>47</v>
      </c>
      <c r="AE124" s="70"/>
      <c r="AF124" s="71"/>
      <c r="AG124" s="70"/>
      <c r="AH124" s="72"/>
      <c r="AK124" s="27"/>
    </row>
    <row r="125" spans="1:37" s="26" customFormat="1" ht="14.25" customHeight="1" x14ac:dyDescent="0.45">
      <c r="A125" s="28" t="s">
        <v>367</v>
      </c>
      <c r="B125" s="8" t="s">
        <v>35</v>
      </c>
      <c r="C125" s="8" t="s">
        <v>378</v>
      </c>
      <c r="D125" s="9" t="s">
        <v>383</v>
      </c>
      <c r="E125" s="9">
        <v>43265</v>
      </c>
      <c r="F125" s="9">
        <v>43265</v>
      </c>
      <c r="G125" s="10">
        <v>43311</v>
      </c>
      <c r="H125" s="67"/>
      <c r="I125" s="68"/>
      <c r="J125" s="67"/>
      <c r="K125" s="14">
        <v>43265</v>
      </c>
      <c r="L125" s="9"/>
      <c r="M125" s="10" t="str">
        <f t="shared" si="14"/>
        <v>Jul-18</v>
      </c>
      <c r="N125" s="10" t="str">
        <f t="shared" si="15"/>
        <v>Jun-18</v>
      </c>
      <c r="O125" s="97" t="s">
        <v>384</v>
      </c>
      <c r="P125" s="98" t="s">
        <v>385</v>
      </c>
      <c r="Q125" s="99">
        <v>5434.3200000000006</v>
      </c>
      <c r="R125" s="73"/>
      <c r="S125" s="45">
        <f t="shared" si="21"/>
        <v>5434.3200000000006</v>
      </c>
      <c r="T125" s="64">
        <f t="shared" si="17"/>
        <v>5977.7520000000013</v>
      </c>
      <c r="U125" s="100"/>
      <c r="V125" s="100"/>
      <c r="W125" s="21">
        <f t="shared" si="18"/>
        <v>0</v>
      </c>
      <c r="X125" s="22">
        <f t="shared" si="19"/>
        <v>5434.3200000000006</v>
      </c>
      <c r="Y125" s="35">
        <f t="shared" si="20"/>
        <v>1</v>
      </c>
      <c r="Z125" s="20"/>
      <c r="AA125" s="11"/>
      <c r="AB125" s="20"/>
      <c r="AC125" s="24" t="s">
        <v>371</v>
      </c>
      <c r="AD125" s="10" t="s">
        <v>47</v>
      </c>
      <c r="AE125" s="70"/>
      <c r="AF125" s="71"/>
      <c r="AG125" s="70"/>
      <c r="AH125" s="72"/>
      <c r="AK125" s="27"/>
    </row>
    <row r="126" spans="1:37" s="26" customFormat="1" ht="14" customHeight="1" x14ac:dyDescent="0.45">
      <c r="A126" s="28" t="s">
        <v>41</v>
      </c>
      <c r="B126" s="28" t="s">
        <v>42</v>
      </c>
      <c r="C126" s="28" t="s">
        <v>43</v>
      </c>
      <c r="D126" s="9"/>
      <c r="E126" s="9"/>
      <c r="F126" s="10">
        <v>43510</v>
      </c>
      <c r="G126" s="10">
        <v>43510</v>
      </c>
      <c r="H126" s="51">
        <v>43510</v>
      </c>
      <c r="I126" s="52"/>
      <c r="J126" s="51">
        <f>H126+14</f>
        <v>43524</v>
      </c>
      <c r="K126" s="51">
        <f>J126+14</f>
        <v>43538</v>
      </c>
      <c r="L126" s="9"/>
      <c r="M126" s="10" t="str">
        <f t="shared" si="14"/>
        <v>Feb-19</v>
      </c>
      <c r="N126" s="10" t="str">
        <f t="shared" si="15"/>
        <v>Mar-19</v>
      </c>
      <c r="O126" s="16" t="s">
        <v>386</v>
      </c>
      <c r="P126" s="18" t="s">
        <v>81</v>
      </c>
      <c r="Q126" s="45">
        <v>1976.12</v>
      </c>
      <c r="R126" s="45">
        <v>7783.01</v>
      </c>
      <c r="S126" s="45">
        <f t="shared" si="21"/>
        <v>9759.130000000001</v>
      </c>
      <c r="T126" s="64">
        <f t="shared" si="17"/>
        <v>10735.043000000001</v>
      </c>
      <c r="U126" s="65">
        <v>6589.49</v>
      </c>
      <c r="V126" s="65"/>
      <c r="W126" s="78">
        <f t="shared" si="18"/>
        <v>6589.49</v>
      </c>
      <c r="X126" s="22">
        <f t="shared" si="19"/>
        <v>3169.6400000000012</v>
      </c>
      <c r="Y126" s="35">
        <f t="shared" si="20"/>
        <v>0.3247871480347122</v>
      </c>
      <c r="Z126" s="20"/>
      <c r="AA126" s="11">
        <f>G126+14</f>
        <v>43524</v>
      </c>
      <c r="AB126" s="20"/>
      <c r="AC126" s="24" t="s">
        <v>73</v>
      </c>
      <c r="AD126" s="10" t="s">
        <v>47</v>
      </c>
      <c r="AE126" s="10">
        <v>43286</v>
      </c>
      <c r="AF126" s="48"/>
      <c r="AG126" s="10">
        <v>43371</v>
      </c>
      <c r="AH126" s="25">
        <f>AG126-AE126</f>
        <v>85</v>
      </c>
      <c r="AK126" s="27"/>
    </row>
    <row r="127" spans="1:37" s="26" customFormat="1" ht="14" customHeight="1" x14ac:dyDescent="0.45">
      <c r="A127" s="28" t="s">
        <v>367</v>
      </c>
      <c r="B127" s="8" t="s">
        <v>35</v>
      </c>
      <c r="C127" s="8" t="s">
        <v>378</v>
      </c>
      <c r="D127" s="9" t="s">
        <v>387</v>
      </c>
      <c r="E127" s="9">
        <v>43511</v>
      </c>
      <c r="F127" s="10">
        <v>43480</v>
      </c>
      <c r="G127" s="10">
        <v>43480</v>
      </c>
      <c r="H127" s="14">
        <v>43480</v>
      </c>
      <c r="I127" s="54">
        <v>43482</v>
      </c>
      <c r="J127" s="14">
        <f>G127+14</f>
        <v>43494</v>
      </c>
      <c r="K127" s="15">
        <v>43511</v>
      </c>
      <c r="L127" s="9"/>
      <c r="M127" s="10" t="str">
        <f t="shared" si="14"/>
        <v>Jan-19</v>
      </c>
      <c r="N127" s="10" t="str">
        <f t="shared" si="15"/>
        <v>Feb-19</v>
      </c>
      <c r="O127" s="97" t="s">
        <v>384</v>
      </c>
      <c r="P127" s="98" t="s">
        <v>385</v>
      </c>
      <c r="Q127" s="99">
        <f>18114.4-Q125</f>
        <v>12680.080000000002</v>
      </c>
      <c r="R127" s="45">
        <v>34984.538999999997</v>
      </c>
      <c r="S127" s="45">
        <f t="shared" si="21"/>
        <v>47664.618999999999</v>
      </c>
      <c r="T127" s="64">
        <f t="shared" si="17"/>
        <v>52431.080900000001</v>
      </c>
      <c r="U127" s="65">
        <v>25885</v>
      </c>
      <c r="V127" s="65"/>
      <c r="W127" s="21">
        <f t="shared" si="18"/>
        <v>25885</v>
      </c>
      <c r="X127" s="22">
        <f t="shared" si="19"/>
        <v>21779.618999999999</v>
      </c>
      <c r="Y127" s="35">
        <f t="shared" si="20"/>
        <v>0.45693471293665433</v>
      </c>
      <c r="Z127" s="20"/>
      <c r="AA127" s="11"/>
      <c r="AB127" s="20"/>
      <c r="AC127" s="24" t="s">
        <v>371</v>
      </c>
      <c r="AD127" s="10" t="s">
        <v>47</v>
      </c>
      <c r="AE127" s="70"/>
      <c r="AF127" s="71"/>
      <c r="AG127" s="70"/>
      <c r="AH127" s="72"/>
      <c r="AK127" s="27"/>
    </row>
    <row r="128" spans="1:37" s="26" customFormat="1" ht="14.25" customHeight="1" x14ac:dyDescent="0.45">
      <c r="A128" s="28" t="s">
        <v>367</v>
      </c>
      <c r="B128" s="8" t="s">
        <v>35</v>
      </c>
      <c r="C128" s="8" t="s">
        <v>378</v>
      </c>
      <c r="D128" s="9" t="s">
        <v>388</v>
      </c>
      <c r="E128" s="9">
        <v>43377</v>
      </c>
      <c r="F128" s="10">
        <v>43336</v>
      </c>
      <c r="G128" s="10">
        <v>43336</v>
      </c>
      <c r="H128" s="14">
        <v>43350</v>
      </c>
      <c r="I128" s="54">
        <v>43357</v>
      </c>
      <c r="J128" s="14">
        <f>G128+14</f>
        <v>43350</v>
      </c>
      <c r="K128" s="15">
        <v>43377</v>
      </c>
      <c r="L128" s="9"/>
      <c r="M128" s="10" t="str">
        <f t="shared" si="14"/>
        <v>Aug-18</v>
      </c>
      <c r="N128" s="10" t="str">
        <f t="shared" si="15"/>
        <v>Oct-18</v>
      </c>
      <c r="O128" s="97" t="s">
        <v>389</v>
      </c>
      <c r="P128" s="98" t="s">
        <v>370</v>
      </c>
      <c r="Q128" s="99">
        <f>26148.16-Q129</f>
        <v>18303.712</v>
      </c>
      <c r="R128" s="45">
        <v>92993.03</v>
      </c>
      <c r="S128" s="45">
        <f t="shared" si="21"/>
        <v>111296.742</v>
      </c>
      <c r="T128" s="64">
        <f t="shared" si="17"/>
        <v>122426.41620000001</v>
      </c>
      <c r="U128" s="65">
        <v>71034.05</v>
      </c>
      <c r="V128" s="65"/>
      <c r="W128" s="21">
        <f t="shared" si="18"/>
        <v>71034.05</v>
      </c>
      <c r="X128" s="22">
        <f t="shared" si="19"/>
        <v>40262.691999999995</v>
      </c>
      <c r="Y128" s="35">
        <f t="shared" si="20"/>
        <v>0.36175984378770043</v>
      </c>
      <c r="Z128" s="20"/>
      <c r="AA128" s="11"/>
      <c r="AB128" s="20"/>
      <c r="AC128" s="24" t="s">
        <v>371</v>
      </c>
      <c r="AD128" s="10" t="s">
        <v>47</v>
      </c>
      <c r="AE128" s="70"/>
      <c r="AF128" s="71"/>
      <c r="AG128" s="70"/>
      <c r="AH128" s="72"/>
      <c r="AK128" s="27"/>
    </row>
    <row r="129" spans="1:47" s="26" customFormat="1" ht="14.25" customHeight="1" x14ac:dyDescent="0.45">
      <c r="A129" s="28" t="s">
        <v>367</v>
      </c>
      <c r="B129" s="8" t="s">
        <v>35</v>
      </c>
      <c r="C129" s="8" t="s">
        <v>378</v>
      </c>
      <c r="D129" s="9" t="s">
        <v>390</v>
      </c>
      <c r="E129" s="9">
        <v>43265</v>
      </c>
      <c r="F129" s="9">
        <v>43265</v>
      </c>
      <c r="G129" s="10">
        <v>43259</v>
      </c>
      <c r="H129" s="67"/>
      <c r="I129" s="68"/>
      <c r="J129" s="67"/>
      <c r="K129" s="14">
        <v>43265</v>
      </c>
      <c r="L129" s="9"/>
      <c r="M129" s="10" t="str">
        <f t="shared" si="14"/>
        <v>Jun-18</v>
      </c>
      <c r="N129" s="10" t="str">
        <f t="shared" si="15"/>
        <v>Jun-18</v>
      </c>
      <c r="O129" s="97" t="s">
        <v>389</v>
      </c>
      <c r="P129" s="98" t="s">
        <v>370</v>
      </c>
      <c r="Q129" s="99">
        <v>7844.4479999999994</v>
      </c>
      <c r="R129" s="73"/>
      <c r="S129" s="45">
        <f t="shared" si="21"/>
        <v>7844.4479999999994</v>
      </c>
      <c r="T129" s="64">
        <f t="shared" si="17"/>
        <v>8628.8927999999996</v>
      </c>
      <c r="U129" s="100"/>
      <c r="V129" s="100"/>
      <c r="W129" s="21">
        <f t="shared" si="18"/>
        <v>0</v>
      </c>
      <c r="X129" s="22">
        <f t="shared" si="19"/>
        <v>7844.4479999999994</v>
      </c>
      <c r="Y129" s="35">
        <f t="shared" si="20"/>
        <v>1</v>
      </c>
      <c r="Z129" s="20"/>
      <c r="AA129" s="11"/>
      <c r="AB129" s="20"/>
      <c r="AC129" s="24" t="s">
        <v>371</v>
      </c>
      <c r="AD129" s="10" t="s">
        <v>47</v>
      </c>
      <c r="AE129" s="70"/>
      <c r="AF129" s="71"/>
      <c r="AG129" s="70"/>
      <c r="AH129" s="72"/>
      <c r="AK129" s="27"/>
    </row>
    <row r="130" spans="1:47" s="26" customFormat="1" ht="14.25" customHeight="1" x14ac:dyDescent="0.45">
      <c r="A130" s="28" t="s">
        <v>367</v>
      </c>
      <c r="B130" s="8" t="s">
        <v>35</v>
      </c>
      <c r="C130" s="8" t="s">
        <v>378</v>
      </c>
      <c r="D130" s="9" t="s">
        <v>391</v>
      </c>
      <c r="E130" s="9">
        <v>43377</v>
      </c>
      <c r="F130" s="10">
        <v>43336</v>
      </c>
      <c r="G130" s="9">
        <v>43336</v>
      </c>
      <c r="H130" s="14">
        <v>43348</v>
      </c>
      <c r="I130" s="54">
        <v>43357</v>
      </c>
      <c r="J130" s="14">
        <f>G130+14</f>
        <v>43350</v>
      </c>
      <c r="K130" s="15">
        <v>43377</v>
      </c>
      <c r="L130" s="9"/>
      <c r="M130" s="10" t="str">
        <f t="shared" ref="M130:M193" si="26">TEXT(G130,"mmm-yy")</f>
        <v>Aug-18</v>
      </c>
      <c r="N130" s="10" t="str">
        <f t="shared" ref="N130:N193" si="27">TEXT(K130,"mmm-yy")</f>
        <v>Oct-18</v>
      </c>
      <c r="O130" s="97" t="s">
        <v>392</v>
      </c>
      <c r="P130" s="97" t="s">
        <v>370</v>
      </c>
      <c r="Q130" s="99">
        <f>53756.24-Q131</f>
        <v>37629.369999999995</v>
      </c>
      <c r="R130" s="45">
        <v>248469.0625</v>
      </c>
      <c r="S130" s="45">
        <f t="shared" si="21"/>
        <v>286098.4325</v>
      </c>
      <c r="T130" s="64">
        <f t="shared" ref="T130:T193" si="28">S130*1.1</f>
        <v>314708.27575000003</v>
      </c>
      <c r="U130" s="65">
        <v>195778</v>
      </c>
      <c r="V130" s="65"/>
      <c r="W130" s="21">
        <f t="shared" ref="W130:W193" si="29">SUM(U130:V130)</f>
        <v>195778</v>
      </c>
      <c r="X130" s="22">
        <f t="shared" ref="X130:X193" si="30">S130-W130</f>
        <v>90320.432499999995</v>
      </c>
      <c r="Y130" s="35">
        <f t="shared" ref="Y130:Y193" si="31">X130/S130</f>
        <v>0.31569705471909565</v>
      </c>
      <c r="Z130" s="20"/>
      <c r="AA130" s="11"/>
      <c r="AB130" s="20"/>
      <c r="AC130" s="24" t="s">
        <v>371</v>
      </c>
      <c r="AD130" s="10" t="s">
        <v>47</v>
      </c>
      <c r="AE130" s="70"/>
      <c r="AF130" s="71"/>
      <c r="AG130" s="70"/>
      <c r="AH130" s="72"/>
      <c r="AK130" s="27"/>
    </row>
    <row r="131" spans="1:47" s="101" customFormat="1" ht="14.25" customHeight="1" x14ac:dyDescent="0.45">
      <c r="A131" s="28" t="s">
        <v>367</v>
      </c>
      <c r="B131" s="8" t="s">
        <v>35</v>
      </c>
      <c r="C131" s="8" t="s">
        <v>378</v>
      </c>
      <c r="D131" s="9" t="s">
        <v>393</v>
      </c>
      <c r="E131" s="9">
        <v>43265</v>
      </c>
      <c r="F131" s="9">
        <v>43265</v>
      </c>
      <c r="G131" s="10">
        <v>43259</v>
      </c>
      <c r="H131" s="67"/>
      <c r="I131" s="68"/>
      <c r="J131" s="67"/>
      <c r="K131" s="14">
        <v>43265</v>
      </c>
      <c r="L131" s="9"/>
      <c r="M131" s="10" t="str">
        <f t="shared" si="26"/>
        <v>Jun-18</v>
      </c>
      <c r="N131" s="10" t="str">
        <f t="shared" si="27"/>
        <v>Jun-18</v>
      </c>
      <c r="O131" s="97" t="s">
        <v>392</v>
      </c>
      <c r="P131" s="98" t="s">
        <v>370</v>
      </c>
      <c r="Q131" s="99">
        <v>16126.87</v>
      </c>
      <c r="R131" s="73"/>
      <c r="S131" s="45">
        <f t="shared" si="21"/>
        <v>16126.87</v>
      </c>
      <c r="T131" s="64">
        <f t="shared" si="28"/>
        <v>17739.557000000001</v>
      </c>
      <c r="U131" s="100"/>
      <c r="V131" s="100"/>
      <c r="W131" s="21">
        <f t="shared" si="29"/>
        <v>0</v>
      </c>
      <c r="X131" s="22">
        <f t="shared" si="30"/>
        <v>16126.87</v>
      </c>
      <c r="Y131" s="35">
        <f t="shared" si="31"/>
        <v>1</v>
      </c>
      <c r="Z131" s="20"/>
      <c r="AA131" s="11"/>
      <c r="AB131" s="20"/>
      <c r="AC131" s="24" t="s">
        <v>371</v>
      </c>
      <c r="AD131" s="10" t="s">
        <v>47</v>
      </c>
      <c r="AE131" s="70"/>
      <c r="AF131" s="71"/>
      <c r="AG131" s="70"/>
      <c r="AH131" s="72"/>
      <c r="AI131" s="26"/>
      <c r="AJ131" s="26"/>
      <c r="AK131" s="27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</row>
    <row r="132" spans="1:47" s="26" customFormat="1" ht="14.25" customHeight="1" x14ac:dyDescent="0.45">
      <c r="A132" s="28" t="s">
        <v>41</v>
      </c>
      <c r="B132" s="8" t="s">
        <v>65</v>
      </c>
      <c r="C132" s="8" t="s">
        <v>57</v>
      </c>
      <c r="D132" s="9" t="s">
        <v>394</v>
      </c>
      <c r="E132" s="9">
        <v>43481</v>
      </c>
      <c r="F132" s="10">
        <v>43417</v>
      </c>
      <c r="G132" s="11">
        <v>43417</v>
      </c>
      <c r="H132" s="15">
        <v>43417</v>
      </c>
      <c r="I132" s="49">
        <v>43452</v>
      </c>
      <c r="J132" s="77">
        <v>43432</v>
      </c>
      <c r="K132" s="14">
        <v>43475</v>
      </c>
      <c r="L132" s="9"/>
      <c r="M132" s="10" t="str">
        <f t="shared" si="26"/>
        <v>Nov-18</v>
      </c>
      <c r="N132" s="10" t="str">
        <f t="shared" si="27"/>
        <v>Jan-19</v>
      </c>
      <c r="O132" s="17" t="s">
        <v>395</v>
      </c>
      <c r="P132" s="33" t="s">
        <v>396</v>
      </c>
      <c r="Q132" s="45">
        <v>6507.52</v>
      </c>
      <c r="R132" s="45">
        <v>4822.6319999999996</v>
      </c>
      <c r="S132" s="45">
        <f t="shared" si="21"/>
        <v>11330.152</v>
      </c>
      <c r="T132" s="64">
        <f t="shared" si="28"/>
        <v>12463.167200000002</v>
      </c>
      <c r="U132" s="65">
        <v>3171.2</v>
      </c>
      <c r="V132" s="65"/>
      <c r="W132" s="21">
        <f t="shared" si="29"/>
        <v>3171.2</v>
      </c>
      <c r="X132" s="22">
        <f t="shared" si="30"/>
        <v>8158.9520000000002</v>
      </c>
      <c r="Y132" s="35">
        <f t="shared" si="31"/>
        <v>0.72010966843163271</v>
      </c>
      <c r="Z132" s="20"/>
      <c r="AA132" s="11"/>
      <c r="AB132" s="20"/>
      <c r="AC132" s="24" t="s">
        <v>73</v>
      </c>
      <c r="AD132" s="10" t="s">
        <v>47</v>
      </c>
      <c r="AE132" s="10">
        <v>43404</v>
      </c>
      <c r="AF132" s="48"/>
      <c r="AG132" s="10">
        <v>43454</v>
      </c>
      <c r="AH132" s="25">
        <f>AG132-AE132</f>
        <v>50</v>
      </c>
      <c r="AK132" s="27"/>
    </row>
    <row r="133" spans="1:47" s="26" customFormat="1" ht="14.25" customHeight="1" x14ac:dyDescent="0.45">
      <c r="A133" s="28" t="s">
        <v>367</v>
      </c>
      <c r="B133" s="8" t="s">
        <v>35</v>
      </c>
      <c r="C133" s="8" t="s">
        <v>378</v>
      </c>
      <c r="D133" s="9" t="s">
        <v>397</v>
      </c>
      <c r="E133" s="9">
        <v>43389</v>
      </c>
      <c r="F133" s="10">
        <v>43353</v>
      </c>
      <c r="G133" s="10">
        <v>43353</v>
      </c>
      <c r="H133" s="14">
        <v>43353</v>
      </c>
      <c r="I133" s="54">
        <v>43356</v>
      </c>
      <c r="J133" s="14">
        <f>G133+14</f>
        <v>43367</v>
      </c>
      <c r="K133" s="15">
        <v>43391</v>
      </c>
      <c r="L133" s="9"/>
      <c r="M133" s="10" t="str">
        <f t="shared" si="26"/>
        <v>Sep-18</v>
      </c>
      <c r="N133" s="10" t="str">
        <f t="shared" si="27"/>
        <v>Oct-18</v>
      </c>
      <c r="O133" s="97" t="s">
        <v>398</v>
      </c>
      <c r="P133" s="98" t="s">
        <v>399</v>
      </c>
      <c r="Q133" s="99">
        <v>27298.42</v>
      </c>
      <c r="R133" s="95">
        <v>-3015.409999999998</v>
      </c>
      <c r="S133" s="45">
        <f t="shared" si="21"/>
        <v>24283.010000000002</v>
      </c>
      <c r="T133" s="64">
        <f t="shared" si="28"/>
        <v>26711.311000000005</v>
      </c>
      <c r="U133" s="65">
        <f>1782.5+8610+165</f>
        <v>10557.5</v>
      </c>
      <c r="V133" s="65"/>
      <c r="W133" s="21">
        <f t="shared" si="29"/>
        <v>10557.5</v>
      </c>
      <c r="X133" s="22">
        <f t="shared" si="30"/>
        <v>13725.510000000002</v>
      </c>
      <c r="Y133" s="35">
        <f t="shared" si="31"/>
        <v>0.56523099895770745</v>
      </c>
      <c r="Z133" s="20"/>
      <c r="AA133" s="11"/>
      <c r="AB133" s="20"/>
      <c r="AC133" s="24" t="s">
        <v>371</v>
      </c>
      <c r="AD133" s="10" t="s">
        <v>47</v>
      </c>
      <c r="AE133" s="70"/>
      <c r="AF133" s="71"/>
      <c r="AG133" s="70"/>
      <c r="AH133" s="72"/>
      <c r="AK133" s="27"/>
    </row>
    <row r="134" spans="1:47" s="26" customFormat="1" ht="14.25" customHeight="1" x14ac:dyDescent="0.45">
      <c r="A134" s="28" t="s">
        <v>367</v>
      </c>
      <c r="B134" s="8" t="s">
        <v>35</v>
      </c>
      <c r="C134" s="8" t="s">
        <v>378</v>
      </c>
      <c r="D134" s="9"/>
      <c r="E134" s="9"/>
      <c r="F134" s="10">
        <v>43353</v>
      </c>
      <c r="G134" s="10">
        <v>43353</v>
      </c>
      <c r="H134" s="14">
        <v>43353</v>
      </c>
      <c r="I134" s="54">
        <v>43356</v>
      </c>
      <c r="J134" s="12">
        <f>G134+14</f>
        <v>43367</v>
      </c>
      <c r="K134" s="51">
        <f>J134+14</f>
        <v>43381</v>
      </c>
      <c r="L134" s="9"/>
      <c r="M134" s="10" t="str">
        <f t="shared" si="26"/>
        <v>Sep-18</v>
      </c>
      <c r="N134" s="10" t="str">
        <f t="shared" si="27"/>
        <v>Oct-18</v>
      </c>
      <c r="O134" s="97" t="s">
        <v>400</v>
      </c>
      <c r="P134" s="97" t="s">
        <v>401</v>
      </c>
      <c r="Q134" s="99">
        <f>13893.82-Q135</f>
        <v>9725.67</v>
      </c>
      <c r="R134" s="45">
        <v>100876.48999999999</v>
      </c>
      <c r="S134" s="45">
        <f t="shared" si="21"/>
        <v>110602.15999999999</v>
      </c>
      <c r="T134" s="64">
        <f t="shared" si="28"/>
        <v>121662.376</v>
      </c>
      <c r="U134" s="65">
        <f>9325.25+60075</f>
        <v>69400.25</v>
      </c>
      <c r="V134" s="65"/>
      <c r="W134" s="21">
        <f t="shared" si="29"/>
        <v>69400.25</v>
      </c>
      <c r="X134" s="22">
        <f t="shared" si="30"/>
        <v>41201.909999999989</v>
      </c>
      <c r="Y134" s="35">
        <f t="shared" si="31"/>
        <v>0.37252355650197061</v>
      </c>
      <c r="Z134" s="20"/>
      <c r="AA134" s="11"/>
      <c r="AB134" s="20"/>
      <c r="AC134" s="24" t="s">
        <v>371</v>
      </c>
      <c r="AD134" s="10" t="s">
        <v>47</v>
      </c>
      <c r="AE134" s="70"/>
      <c r="AF134" s="71"/>
      <c r="AG134" s="70"/>
      <c r="AH134" s="72"/>
      <c r="AK134" s="27"/>
    </row>
    <row r="135" spans="1:47" s="26" customFormat="1" ht="14.25" customHeight="1" x14ac:dyDescent="0.45">
      <c r="A135" s="28" t="s">
        <v>367</v>
      </c>
      <c r="B135" s="28" t="s">
        <v>35</v>
      </c>
      <c r="C135" s="8" t="s">
        <v>378</v>
      </c>
      <c r="D135" s="29" t="s">
        <v>402</v>
      </c>
      <c r="E135" s="29">
        <v>43299</v>
      </c>
      <c r="F135" s="29">
        <v>43299</v>
      </c>
      <c r="G135" s="10">
        <v>43295</v>
      </c>
      <c r="H135" s="67"/>
      <c r="I135" s="68"/>
      <c r="J135" s="67"/>
      <c r="K135" s="12">
        <v>43298</v>
      </c>
      <c r="L135" s="9"/>
      <c r="M135" s="11" t="str">
        <f t="shared" si="26"/>
        <v>Jul-18</v>
      </c>
      <c r="N135" s="11" t="str">
        <f t="shared" si="27"/>
        <v>Jul-18</v>
      </c>
      <c r="O135" s="97" t="s">
        <v>400</v>
      </c>
      <c r="P135" s="98" t="s">
        <v>401</v>
      </c>
      <c r="Q135" s="99">
        <v>4168.1499999999996</v>
      </c>
      <c r="R135" s="73"/>
      <c r="S135" s="45">
        <f t="shared" si="21"/>
        <v>4168.1499999999996</v>
      </c>
      <c r="T135" s="64">
        <f t="shared" si="28"/>
        <v>4584.9650000000001</v>
      </c>
      <c r="U135" s="100"/>
      <c r="V135" s="100"/>
      <c r="W135" s="21">
        <f t="shared" si="29"/>
        <v>0</v>
      </c>
      <c r="X135" s="22">
        <f t="shared" si="30"/>
        <v>4168.1499999999996</v>
      </c>
      <c r="Y135" s="35">
        <f t="shared" si="31"/>
        <v>1</v>
      </c>
      <c r="Z135" s="20"/>
      <c r="AA135" s="11"/>
      <c r="AB135" s="20"/>
      <c r="AC135" s="24" t="s">
        <v>371</v>
      </c>
      <c r="AD135" s="10" t="s">
        <v>47</v>
      </c>
      <c r="AE135" s="102"/>
      <c r="AF135" s="103"/>
      <c r="AG135" s="102"/>
      <c r="AH135" s="104"/>
      <c r="AI135" s="101"/>
      <c r="AJ135" s="101"/>
      <c r="AK135" s="105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</row>
    <row r="136" spans="1:47" s="26" customFormat="1" ht="14.25" customHeight="1" x14ac:dyDescent="0.45">
      <c r="A136" s="28" t="s">
        <v>367</v>
      </c>
      <c r="B136" s="8" t="s">
        <v>35</v>
      </c>
      <c r="C136" s="8" t="s">
        <v>378</v>
      </c>
      <c r="D136" s="9" t="s">
        <v>403</v>
      </c>
      <c r="E136" s="9">
        <v>43402</v>
      </c>
      <c r="F136" s="10">
        <v>43381</v>
      </c>
      <c r="G136" s="9">
        <v>43381</v>
      </c>
      <c r="H136" s="14">
        <v>43381</v>
      </c>
      <c r="I136" s="54">
        <v>43391</v>
      </c>
      <c r="J136" s="14">
        <f>G136+14</f>
        <v>43395</v>
      </c>
      <c r="K136" s="14">
        <v>43402</v>
      </c>
      <c r="L136" s="9"/>
      <c r="M136" s="10" t="str">
        <f t="shared" si="26"/>
        <v>Oct-18</v>
      </c>
      <c r="N136" s="10" t="str">
        <f t="shared" si="27"/>
        <v>Oct-18</v>
      </c>
      <c r="O136" s="97" t="s">
        <v>404</v>
      </c>
      <c r="P136" s="98" t="s">
        <v>405</v>
      </c>
      <c r="Q136" s="99">
        <f>17021.56-Q137</f>
        <v>11915.09</v>
      </c>
      <c r="R136" s="45">
        <v>65538.040000000008</v>
      </c>
      <c r="S136" s="45">
        <f t="shared" si="21"/>
        <v>77453.13</v>
      </c>
      <c r="T136" s="64">
        <f t="shared" si="28"/>
        <v>85198.443000000014</v>
      </c>
      <c r="U136" s="65">
        <v>43326.5</v>
      </c>
      <c r="V136" s="65"/>
      <c r="W136" s="21">
        <f t="shared" si="29"/>
        <v>43326.5</v>
      </c>
      <c r="X136" s="22">
        <f t="shared" si="30"/>
        <v>34126.630000000005</v>
      </c>
      <c r="Y136" s="35">
        <f t="shared" si="31"/>
        <v>0.44061008251054545</v>
      </c>
      <c r="Z136" s="20"/>
      <c r="AA136" s="11"/>
      <c r="AB136" s="20"/>
      <c r="AC136" s="24" t="s">
        <v>371</v>
      </c>
      <c r="AD136" s="10" t="s">
        <v>47</v>
      </c>
      <c r="AE136" s="70"/>
      <c r="AF136" s="71"/>
      <c r="AG136" s="70"/>
      <c r="AH136" s="72"/>
      <c r="AK136" s="27"/>
    </row>
    <row r="137" spans="1:47" s="26" customFormat="1" ht="14.25" customHeight="1" x14ac:dyDescent="0.45">
      <c r="A137" s="28" t="s">
        <v>367</v>
      </c>
      <c r="B137" s="8" t="s">
        <v>35</v>
      </c>
      <c r="C137" s="8" t="s">
        <v>378</v>
      </c>
      <c r="D137" s="9" t="s">
        <v>406</v>
      </c>
      <c r="E137" s="9">
        <v>43298</v>
      </c>
      <c r="F137" s="9">
        <v>43298</v>
      </c>
      <c r="G137" s="10">
        <v>43342</v>
      </c>
      <c r="H137" s="67"/>
      <c r="I137" s="68"/>
      <c r="J137" s="67"/>
      <c r="K137" s="14">
        <v>43298</v>
      </c>
      <c r="L137" s="10" t="s">
        <v>407</v>
      </c>
      <c r="M137" s="11" t="str">
        <f t="shared" si="26"/>
        <v>Aug-18</v>
      </c>
      <c r="N137" s="11" t="str">
        <f t="shared" si="27"/>
        <v>Jul-18</v>
      </c>
      <c r="O137" s="97" t="s">
        <v>408</v>
      </c>
      <c r="P137" s="97" t="s">
        <v>405</v>
      </c>
      <c r="Q137" s="99">
        <v>5106.47</v>
      </c>
      <c r="R137" s="73"/>
      <c r="S137" s="45">
        <f t="shared" si="21"/>
        <v>5106.47</v>
      </c>
      <c r="T137" s="64">
        <f t="shared" si="28"/>
        <v>5617.1170000000011</v>
      </c>
      <c r="U137" s="100"/>
      <c r="V137" s="100"/>
      <c r="W137" s="21">
        <f t="shared" si="29"/>
        <v>0</v>
      </c>
      <c r="X137" s="22">
        <f t="shared" si="30"/>
        <v>5106.47</v>
      </c>
      <c r="Y137" s="35">
        <f t="shared" si="31"/>
        <v>1</v>
      </c>
      <c r="Z137" s="20"/>
      <c r="AA137" s="11"/>
      <c r="AB137" s="20"/>
      <c r="AC137" s="24" t="s">
        <v>371</v>
      </c>
      <c r="AD137" s="10" t="s">
        <v>47</v>
      </c>
      <c r="AE137" s="70"/>
      <c r="AF137" s="71"/>
      <c r="AG137" s="70"/>
      <c r="AH137" s="72"/>
      <c r="AK137" s="27"/>
    </row>
    <row r="138" spans="1:47" s="26" customFormat="1" ht="14.25" customHeight="1" x14ac:dyDescent="0.45">
      <c r="A138" s="28" t="s">
        <v>367</v>
      </c>
      <c r="B138" s="8" t="s">
        <v>35</v>
      </c>
      <c r="C138" s="8" t="s">
        <v>378</v>
      </c>
      <c r="D138" s="9" t="s">
        <v>409</v>
      </c>
      <c r="E138" s="9">
        <v>43402</v>
      </c>
      <c r="F138" s="10">
        <v>43363</v>
      </c>
      <c r="G138" s="10">
        <v>43363</v>
      </c>
      <c r="H138" s="14">
        <v>43378</v>
      </c>
      <c r="I138" s="54">
        <v>43384</v>
      </c>
      <c r="J138" s="77">
        <f>G138+14</f>
        <v>43377</v>
      </c>
      <c r="K138" s="15">
        <v>43402</v>
      </c>
      <c r="L138" s="9"/>
      <c r="M138" s="10" t="str">
        <f t="shared" si="26"/>
        <v>Sep-18</v>
      </c>
      <c r="N138" s="10" t="str">
        <f t="shared" si="27"/>
        <v>Oct-18</v>
      </c>
      <c r="O138" s="97" t="s">
        <v>410</v>
      </c>
      <c r="P138" s="98" t="s">
        <v>411</v>
      </c>
      <c r="Q138" s="99">
        <f>17668.08-Q139</f>
        <v>12367.660000000002</v>
      </c>
      <c r="R138" s="45">
        <v>104672.12275000001</v>
      </c>
      <c r="S138" s="45">
        <f t="shared" ref="S138:S201" si="32">SUM(Q138:R138)</f>
        <v>117039.78275000001</v>
      </c>
      <c r="T138" s="64">
        <f t="shared" si="28"/>
        <v>128743.76102500003</v>
      </c>
      <c r="U138" s="65">
        <v>77282</v>
      </c>
      <c r="V138" s="65"/>
      <c r="W138" s="21">
        <f t="shared" si="29"/>
        <v>77282</v>
      </c>
      <c r="X138" s="22">
        <f t="shared" si="30"/>
        <v>39757.782750000013</v>
      </c>
      <c r="Y138" s="35">
        <f t="shared" si="31"/>
        <v>0.33969460482444386</v>
      </c>
      <c r="Z138" s="20"/>
      <c r="AA138" s="11"/>
      <c r="AB138" s="20"/>
      <c r="AC138" s="24" t="s">
        <v>371</v>
      </c>
      <c r="AD138" s="10" t="s">
        <v>47</v>
      </c>
      <c r="AE138" s="70"/>
      <c r="AF138" s="71"/>
      <c r="AG138" s="70"/>
      <c r="AH138" s="72"/>
      <c r="AK138" s="27"/>
    </row>
    <row r="139" spans="1:47" s="26" customFormat="1" ht="14.25" customHeight="1" x14ac:dyDescent="0.45">
      <c r="A139" s="28" t="s">
        <v>367</v>
      </c>
      <c r="B139" s="8" t="s">
        <v>35</v>
      </c>
      <c r="C139" s="8" t="s">
        <v>378</v>
      </c>
      <c r="D139" s="9" t="s">
        <v>412</v>
      </c>
      <c r="E139" s="9">
        <v>43299</v>
      </c>
      <c r="F139" s="9">
        <v>43299</v>
      </c>
      <c r="G139" s="10">
        <v>43295</v>
      </c>
      <c r="H139" s="67"/>
      <c r="I139" s="68"/>
      <c r="J139" s="67"/>
      <c r="K139" s="14">
        <v>43298</v>
      </c>
      <c r="L139" s="9"/>
      <c r="M139" s="10" t="str">
        <f t="shared" si="26"/>
        <v>Jul-18</v>
      </c>
      <c r="N139" s="10" t="str">
        <f t="shared" si="27"/>
        <v>Jul-18</v>
      </c>
      <c r="O139" s="97" t="s">
        <v>410</v>
      </c>
      <c r="P139" s="98" t="s">
        <v>411</v>
      </c>
      <c r="Q139" s="99">
        <v>5300.42</v>
      </c>
      <c r="R139" s="73"/>
      <c r="S139" s="45">
        <f t="shared" si="32"/>
        <v>5300.42</v>
      </c>
      <c r="T139" s="64">
        <f t="shared" si="28"/>
        <v>5830.4620000000004</v>
      </c>
      <c r="U139" s="100"/>
      <c r="V139" s="100"/>
      <c r="W139" s="21">
        <f t="shared" si="29"/>
        <v>0</v>
      </c>
      <c r="X139" s="22">
        <f t="shared" si="30"/>
        <v>5300.42</v>
      </c>
      <c r="Y139" s="35">
        <f t="shared" si="31"/>
        <v>1</v>
      </c>
      <c r="Z139" s="20"/>
      <c r="AA139" s="11"/>
      <c r="AB139" s="20"/>
      <c r="AC139" s="24" t="s">
        <v>371</v>
      </c>
      <c r="AD139" s="10" t="s">
        <v>47</v>
      </c>
      <c r="AE139" s="70"/>
      <c r="AF139" s="71"/>
      <c r="AG139" s="70"/>
      <c r="AH139" s="72"/>
      <c r="AK139" s="27"/>
    </row>
    <row r="140" spans="1:47" s="26" customFormat="1" ht="14.25" customHeight="1" x14ac:dyDescent="0.45">
      <c r="A140" s="28" t="s">
        <v>367</v>
      </c>
      <c r="B140" s="8" t="s">
        <v>35</v>
      </c>
      <c r="C140" s="8" t="s">
        <v>378</v>
      </c>
      <c r="D140" s="9" t="s">
        <v>413</v>
      </c>
      <c r="E140" s="9">
        <v>43453</v>
      </c>
      <c r="F140" s="10">
        <v>43427</v>
      </c>
      <c r="G140" s="10">
        <v>43427</v>
      </c>
      <c r="H140" s="14">
        <v>43433</v>
      </c>
      <c r="I140" s="54">
        <v>43441</v>
      </c>
      <c r="J140" s="77">
        <v>43432</v>
      </c>
      <c r="K140" s="14">
        <v>43454</v>
      </c>
      <c r="L140" s="9"/>
      <c r="M140" s="10" t="str">
        <f t="shared" si="26"/>
        <v>Nov-18</v>
      </c>
      <c r="N140" s="10" t="str">
        <f t="shared" si="27"/>
        <v>Dec-18</v>
      </c>
      <c r="O140" s="97" t="s">
        <v>414</v>
      </c>
      <c r="P140" s="97" t="s">
        <v>415</v>
      </c>
      <c r="Q140" s="99">
        <v>2117.0500000000002</v>
      </c>
      <c r="R140" s="45">
        <v>17704.82</v>
      </c>
      <c r="S140" s="45">
        <f t="shared" si="32"/>
        <v>19821.87</v>
      </c>
      <c r="T140" s="64">
        <f t="shared" si="28"/>
        <v>21804.057000000001</v>
      </c>
      <c r="U140" s="65">
        <v>9950</v>
      </c>
      <c r="V140" s="65"/>
      <c r="W140" s="21">
        <f t="shared" si="29"/>
        <v>9950</v>
      </c>
      <c r="X140" s="22">
        <f t="shared" si="30"/>
        <v>9871.869999999999</v>
      </c>
      <c r="Y140" s="35">
        <f t="shared" si="31"/>
        <v>0.4980291970434676</v>
      </c>
      <c r="Z140" s="20"/>
      <c r="AA140" s="11"/>
      <c r="AB140" s="20"/>
      <c r="AC140" s="24" t="s">
        <v>371</v>
      </c>
      <c r="AD140" s="10" t="s">
        <v>47</v>
      </c>
      <c r="AE140" s="70"/>
      <c r="AF140" s="71"/>
      <c r="AG140" s="70"/>
      <c r="AH140" s="72"/>
      <c r="AK140" s="27"/>
    </row>
    <row r="141" spans="1:47" s="26" customFormat="1" ht="14.25" customHeight="1" x14ac:dyDescent="0.45">
      <c r="A141" s="28" t="s">
        <v>367</v>
      </c>
      <c r="B141" s="8" t="s">
        <v>35</v>
      </c>
      <c r="C141" s="8" t="s">
        <v>378</v>
      </c>
      <c r="D141" s="9" t="s">
        <v>416</v>
      </c>
      <c r="E141" s="9">
        <v>43390</v>
      </c>
      <c r="F141" s="10">
        <v>43355</v>
      </c>
      <c r="G141" s="10">
        <v>43355</v>
      </c>
      <c r="H141" s="14">
        <v>43355</v>
      </c>
      <c r="I141" s="54">
        <v>43360</v>
      </c>
      <c r="J141" s="14">
        <f>G141+14</f>
        <v>43369</v>
      </c>
      <c r="K141" s="15">
        <v>43391</v>
      </c>
      <c r="L141" s="9"/>
      <c r="M141" s="10" t="str">
        <f t="shared" si="26"/>
        <v>Sep-18</v>
      </c>
      <c r="N141" s="10" t="str">
        <f t="shared" si="27"/>
        <v>Oct-18</v>
      </c>
      <c r="O141" s="97" t="s">
        <v>417</v>
      </c>
      <c r="P141" s="98" t="s">
        <v>418</v>
      </c>
      <c r="Q141" s="99">
        <v>1744.7</v>
      </c>
      <c r="R141" s="45">
        <v>15411.875</v>
      </c>
      <c r="S141" s="45">
        <f t="shared" si="32"/>
        <v>17156.575000000001</v>
      </c>
      <c r="T141" s="64">
        <f t="shared" si="28"/>
        <v>18872.232500000002</v>
      </c>
      <c r="U141" s="65">
        <v>5961</v>
      </c>
      <c r="V141" s="65"/>
      <c r="W141" s="21">
        <f t="shared" si="29"/>
        <v>5961</v>
      </c>
      <c r="X141" s="22">
        <f t="shared" si="30"/>
        <v>11195.575000000001</v>
      </c>
      <c r="Y141" s="35">
        <f t="shared" si="31"/>
        <v>0.65255302996081677</v>
      </c>
      <c r="Z141" s="20"/>
      <c r="AA141" s="11"/>
      <c r="AB141" s="20"/>
      <c r="AC141" s="24" t="s">
        <v>371</v>
      </c>
      <c r="AD141" s="10" t="s">
        <v>47</v>
      </c>
      <c r="AE141" s="70"/>
      <c r="AF141" s="71"/>
      <c r="AG141" s="70"/>
      <c r="AH141" s="72"/>
      <c r="AK141" s="27"/>
    </row>
    <row r="142" spans="1:47" s="26" customFormat="1" ht="14.25" customHeight="1" x14ac:dyDescent="0.45">
      <c r="A142" s="28" t="s">
        <v>367</v>
      </c>
      <c r="B142" s="8" t="s">
        <v>35</v>
      </c>
      <c r="C142" s="8" t="s">
        <v>378</v>
      </c>
      <c r="D142" s="9" t="s">
        <v>419</v>
      </c>
      <c r="E142" s="9">
        <v>43389</v>
      </c>
      <c r="F142" s="10">
        <v>43353</v>
      </c>
      <c r="G142" s="10">
        <v>43353</v>
      </c>
      <c r="H142" s="14">
        <v>43353</v>
      </c>
      <c r="I142" s="54">
        <v>43356</v>
      </c>
      <c r="J142" s="14">
        <f>G142+14</f>
        <v>43367</v>
      </c>
      <c r="K142" s="15">
        <v>43391</v>
      </c>
      <c r="L142" s="9"/>
      <c r="M142" s="10" t="str">
        <f t="shared" si="26"/>
        <v>Sep-18</v>
      </c>
      <c r="N142" s="10" t="str">
        <f t="shared" si="27"/>
        <v>Oct-18</v>
      </c>
      <c r="O142" s="97" t="s">
        <v>420</v>
      </c>
      <c r="P142" s="98" t="s">
        <v>421</v>
      </c>
      <c r="Q142" s="99">
        <f>9425.62-Q143</f>
        <v>6597.93</v>
      </c>
      <c r="R142" s="45">
        <v>31965.909999999996</v>
      </c>
      <c r="S142" s="45">
        <f t="shared" si="32"/>
        <v>38563.839999999997</v>
      </c>
      <c r="T142" s="64">
        <f t="shared" si="28"/>
        <v>42420.224000000002</v>
      </c>
      <c r="U142" s="65">
        <f>4926.5+14870</f>
        <v>19796.5</v>
      </c>
      <c r="V142" s="65"/>
      <c r="W142" s="21">
        <f t="shared" si="29"/>
        <v>19796.5</v>
      </c>
      <c r="X142" s="22">
        <f t="shared" si="30"/>
        <v>18767.339999999997</v>
      </c>
      <c r="Y142" s="35">
        <f t="shared" si="31"/>
        <v>0.48665641180961228</v>
      </c>
      <c r="Z142" s="20"/>
      <c r="AA142" s="11"/>
      <c r="AB142" s="20"/>
      <c r="AC142" s="24" t="s">
        <v>371</v>
      </c>
      <c r="AD142" s="10" t="s">
        <v>47</v>
      </c>
      <c r="AE142" s="70"/>
      <c r="AF142" s="71"/>
      <c r="AG142" s="70"/>
      <c r="AH142" s="72"/>
      <c r="AK142" s="27"/>
    </row>
    <row r="143" spans="1:47" s="26" customFormat="1" ht="14.25" customHeight="1" x14ac:dyDescent="0.45">
      <c r="A143" s="28" t="s">
        <v>367</v>
      </c>
      <c r="B143" s="8" t="s">
        <v>35</v>
      </c>
      <c r="C143" s="8" t="s">
        <v>378</v>
      </c>
      <c r="D143" s="9" t="s">
        <v>422</v>
      </c>
      <c r="E143" s="9">
        <v>43298</v>
      </c>
      <c r="F143" s="9">
        <v>43298</v>
      </c>
      <c r="G143" s="10">
        <v>43295</v>
      </c>
      <c r="H143" s="67"/>
      <c r="I143" s="68"/>
      <c r="J143" s="67"/>
      <c r="K143" s="14">
        <v>43298</v>
      </c>
      <c r="L143" s="10" t="s">
        <v>423</v>
      </c>
      <c r="M143" s="10" t="str">
        <f t="shared" si="26"/>
        <v>Jul-18</v>
      </c>
      <c r="N143" s="10" t="str">
        <f t="shared" si="27"/>
        <v>Jul-18</v>
      </c>
      <c r="O143" s="97" t="s">
        <v>420</v>
      </c>
      <c r="P143" s="97" t="s">
        <v>421</v>
      </c>
      <c r="Q143" s="99">
        <v>2827.69</v>
      </c>
      <c r="R143" s="73"/>
      <c r="S143" s="45">
        <f t="shared" si="32"/>
        <v>2827.69</v>
      </c>
      <c r="T143" s="64">
        <f t="shared" si="28"/>
        <v>3110.4590000000003</v>
      </c>
      <c r="U143" s="100"/>
      <c r="V143" s="100"/>
      <c r="W143" s="21">
        <f t="shared" si="29"/>
        <v>0</v>
      </c>
      <c r="X143" s="22">
        <f t="shared" si="30"/>
        <v>2827.69</v>
      </c>
      <c r="Y143" s="35">
        <f t="shared" si="31"/>
        <v>1</v>
      </c>
      <c r="Z143" s="20"/>
      <c r="AA143" s="11"/>
      <c r="AB143" s="20"/>
      <c r="AC143" s="24" t="s">
        <v>371</v>
      </c>
      <c r="AD143" s="10" t="s">
        <v>47</v>
      </c>
      <c r="AE143" s="70"/>
      <c r="AF143" s="71"/>
      <c r="AG143" s="70"/>
      <c r="AH143" s="72"/>
      <c r="AK143" s="27"/>
    </row>
    <row r="144" spans="1:47" s="26" customFormat="1" ht="14.25" customHeight="1" x14ac:dyDescent="0.45">
      <c r="A144" s="28" t="s">
        <v>367</v>
      </c>
      <c r="B144" s="8" t="s">
        <v>35</v>
      </c>
      <c r="C144" s="8" t="s">
        <v>378</v>
      </c>
      <c r="D144" s="9" t="s">
        <v>424</v>
      </c>
      <c r="E144" s="9">
        <v>43418</v>
      </c>
      <c r="F144" s="10">
        <v>43378</v>
      </c>
      <c r="G144" s="10">
        <v>43378</v>
      </c>
      <c r="H144" s="77">
        <v>43385</v>
      </c>
      <c r="I144" s="85">
        <v>43397</v>
      </c>
      <c r="J144" s="14">
        <f>G144+14</f>
        <v>43392</v>
      </c>
      <c r="K144" s="15">
        <v>43419</v>
      </c>
      <c r="L144" s="9"/>
      <c r="M144" s="10" t="str">
        <f t="shared" si="26"/>
        <v>Oct-18</v>
      </c>
      <c r="N144" s="10" t="str">
        <f t="shared" si="27"/>
        <v>Nov-18</v>
      </c>
      <c r="O144" s="97" t="s">
        <v>425</v>
      </c>
      <c r="P144" s="98" t="s">
        <v>370</v>
      </c>
      <c r="Q144" s="99">
        <f>38617.86-Q145</f>
        <v>27032.5</v>
      </c>
      <c r="R144" s="45">
        <v>215504.59025000001</v>
      </c>
      <c r="S144" s="45">
        <f t="shared" si="32"/>
        <v>242537.09025000001</v>
      </c>
      <c r="T144" s="64">
        <f t="shared" si="28"/>
        <v>266790.79927500006</v>
      </c>
      <c r="U144" s="65">
        <v>166289</v>
      </c>
      <c r="V144" s="65"/>
      <c r="W144" s="21">
        <f t="shared" si="29"/>
        <v>166289</v>
      </c>
      <c r="X144" s="22">
        <f t="shared" si="30"/>
        <v>76248.090250000008</v>
      </c>
      <c r="Y144" s="35">
        <f t="shared" si="31"/>
        <v>0.31437703062820516</v>
      </c>
      <c r="Z144" s="20"/>
      <c r="AA144" s="11"/>
      <c r="AB144" s="20"/>
      <c r="AC144" s="24" t="s">
        <v>371</v>
      </c>
      <c r="AD144" s="10" t="s">
        <v>47</v>
      </c>
      <c r="AE144" s="70"/>
      <c r="AF144" s="71"/>
      <c r="AG144" s="70"/>
      <c r="AH144" s="72"/>
      <c r="AK144" s="27"/>
    </row>
    <row r="145" spans="1:37" s="26" customFormat="1" ht="14.25" customHeight="1" x14ac:dyDescent="0.45">
      <c r="A145" s="28" t="s">
        <v>367</v>
      </c>
      <c r="B145" s="8" t="s">
        <v>35</v>
      </c>
      <c r="C145" s="8" t="s">
        <v>378</v>
      </c>
      <c r="D145" s="9" t="s">
        <v>426</v>
      </c>
      <c r="E145" s="9">
        <v>43299</v>
      </c>
      <c r="F145" s="9">
        <v>43299</v>
      </c>
      <c r="G145" s="10">
        <v>43299</v>
      </c>
      <c r="H145" s="67"/>
      <c r="I145" s="68"/>
      <c r="J145" s="67"/>
      <c r="K145" s="14">
        <v>43300</v>
      </c>
      <c r="L145" s="9"/>
      <c r="M145" s="10" t="str">
        <f t="shared" si="26"/>
        <v>Jul-18</v>
      </c>
      <c r="N145" s="10" t="str">
        <f t="shared" si="27"/>
        <v>Jul-18</v>
      </c>
      <c r="O145" s="97" t="s">
        <v>425</v>
      </c>
      <c r="P145" s="98" t="s">
        <v>370</v>
      </c>
      <c r="Q145" s="99">
        <v>11585.36</v>
      </c>
      <c r="R145" s="73"/>
      <c r="S145" s="45">
        <f t="shared" si="32"/>
        <v>11585.36</v>
      </c>
      <c r="T145" s="64">
        <f t="shared" si="28"/>
        <v>12743.896000000002</v>
      </c>
      <c r="U145" s="100"/>
      <c r="V145" s="100"/>
      <c r="W145" s="21">
        <f t="shared" si="29"/>
        <v>0</v>
      </c>
      <c r="X145" s="22">
        <f t="shared" si="30"/>
        <v>11585.36</v>
      </c>
      <c r="Y145" s="35">
        <f t="shared" si="31"/>
        <v>1</v>
      </c>
      <c r="Z145" s="20"/>
      <c r="AA145" s="11"/>
      <c r="AB145" s="20"/>
      <c r="AC145" s="24" t="s">
        <v>371</v>
      </c>
      <c r="AD145" s="10" t="s">
        <v>47</v>
      </c>
      <c r="AE145" s="70"/>
      <c r="AF145" s="71"/>
      <c r="AG145" s="70"/>
      <c r="AH145" s="72"/>
      <c r="AK145" s="27"/>
    </row>
    <row r="146" spans="1:37" s="26" customFormat="1" ht="14.25" customHeight="1" x14ac:dyDescent="0.45">
      <c r="A146" s="28" t="s">
        <v>367</v>
      </c>
      <c r="B146" s="8" t="s">
        <v>35</v>
      </c>
      <c r="C146" s="8" t="s">
        <v>378</v>
      </c>
      <c r="D146" s="9" t="s">
        <v>427</v>
      </c>
      <c r="E146" s="9">
        <v>43453</v>
      </c>
      <c r="F146" s="10">
        <v>43427</v>
      </c>
      <c r="G146" s="10">
        <v>43427</v>
      </c>
      <c r="H146" s="14">
        <v>43433</v>
      </c>
      <c r="I146" s="54">
        <v>43444</v>
      </c>
      <c r="J146" s="14">
        <v>43441</v>
      </c>
      <c r="K146" s="14">
        <v>43454</v>
      </c>
      <c r="L146" s="9"/>
      <c r="M146" s="10" t="str">
        <f t="shared" si="26"/>
        <v>Nov-18</v>
      </c>
      <c r="N146" s="10" t="str">
        <f t="shared" si="27"/>
        <v>Dec-18</v>
      </c>
      <c r="O146" s="97" t="s">
        <v>428</v>
      </c>
      <c r="P146" s="98" t="s">
        <v>385</v>
      </c>
      <c r="Q146" s="99">
        <f>25734.55-Q147</f>
        <v>18014.18</v>
      </c>
      <c r="R146" s="45">
        <v>149994.038</v>
      </c>
      <c r="S146" s="45">
        <f t="shared" si="32"/>
        <v>168008.21799999999</v>
      </c>
      <c r="T146" s="64">
        <f t="shared" si="28"/>
        <v>184809.0398</v>
      </c>
      <c r="U146" s="65">
        <v>113668</v>
      </c>
      <c r="V146" s="65"/>
      <c r="W146" s="21">
        <f t="shared" si="29"/>
        <v>113668</v>
      </c>
      <c r="X146" s="22">
        <f t="shared" si="30"/>
        <v>54340.217999999993</v>
      </c>
      <c r="Y146" s="35">
        <f t="shared" si="31"/>
        <v>0.32343785706958689</v>
      </c>
      <c r="Z146" s="20"/>
      <c r="AA146" s="11"/>
      <c r="AB146" s="20"/>
      <c r="AC146" s="24" t="s">
        <v>371</v>
      </c>
      <c r="AD146" s="10" t="s">
        <v>47</v>
      </c>
      <c r="AE146" s="70"/>
      <c r="AF146" s="71"/>
      <c r="AG146" s="70"/>
      <c r="AH146" s="72"/>
      <c r="AK146" s="27"/>
    </row>
    <row r="147" spans="1:37" s="26" customFormat="1" ht="14.25" customHeight="1" x14ac:dyDescent="0.45">
      <c r="A147" s="28" t="s">
        <v>367</v>
      </c>
      <c r="B147" s="8" t="s">
        <v>35</v>
      </c>
      <c r="C147" s="8" t="s">
        <v>378</v>
      </c>
      <c r="D147" s="9" t="s">
        <v>429</v>
      </c>
      <c r="E147" s="9">
        <v>43299</v>
      </c>
      <c r="F147" s="9">
        <v>43299</v>
      </c>
      <c r="G147" s="10">
        <v>43295</v>
      </c>
      <c r="H147" s="67"/>
      <c r="I147" s="68"/>
      <c r="J147" s="67"/>
      <c r="K147" s="14">
        <v>43298</v>
      </c>
      <c r="L147" s="9"/>
      <c r="M147" s="10" t="str">
        <f t="shared" si="26"/>
        <v>Jul-18</v>
      </c>
      <c r="N147" s="10" t="str">
        <f t="shared" si="27"/>
        <v>Jul-18</v>
      </c>
      <c r="O147" s="97" t="s">
        <v>430</v>
      </c>
      <c r="P147" s="98" t="s">
        <v>385</v>
      </c>
      <c r="Q147" s="99">
        <v>7720.37</v>
      </c>
      <c r="R147" s="73"/>
      <c r="S147" s="45">
        <f t="shared" si="32"/>
        <v>7720.37</v>
      </c>
      <c r="T147" s="64">
        <f t="shared" si="28"/>
        <v>8492.4070000000011</v>
      </c>
      <c r="U147" s="100"/>
      <c r="V147" s="100"/>
      <c r="W147" s="21">
        <f t="shared" si="29"/>
        <v>0</v>
      </c>
      <c r="X147" s="22">
        <f t="shared" si="30"/>
        <v>7720.37</v>
      </c>
      <c r="Y147" s="35">
        <f t="shared" si="31"/>
        <v>1</v>
      </c>
      <c r="Z147" s="20"/>
      <c r="AA147" s="11"/>
      <c r="AB147" s="20"/>
      <c r="AC147" s="24" t="s">
        <v>371</v>
      </c>
      <c r="AD147" s="10" t="s">
        <v>47</v>
      </c>
      <c r="AE147" s="70"/>
      <c r="AF147" s="71"/>
      <c r="AG147" s="70"/>
      <c r="AH147" s="72"/>
      <c r="AK147" s="27"/>
    </row>
    <row r="148" spans="1:37" s="26" customFormat="1" ht="14.25" customHeight="1" x14ac:dyDescent="0.45">
      <c r="A148" s="28" t="s">
        <v>41</v>
      </c>
      <c r="B148" s="8" t="s">
        <v>65</v>
      </c>
      <c r="C148" s="8" t="s">
        <v>57</v>
      </c>
      <c r="D148" s="9" t="s">
        <v>431</v>
      </c>
      <c r="E148" s="9">
        <v>43287</v>
      </c>
      <c r="F148" s="10">
        <v>43258</v>
      </c>
      <c r="G148" s="10">
        <v>43258</v>
      </c>
      <c r="H148" s="15">
        <v>43259</v>
      </c>
      <c r="I148" s="49">
        <v>43283</v>
      </c>
      <c r="J148" s="14">
        <f>G148+14</f>
        <v>43272</v>
      </c>
      <c r="K148" s="15">
        <v>43291</v>
      </c>
      <c r="L148" s="9"/>
      <c r="M148" s="10" t="str">
        <f t="shared" si="26"/>
        <v>Jun-18</v>
      </c>
      <c r="N148" s="10" t="str">
        <f t="shared" si="27"/>
        <v>Jul-18</v>
      </c>
      <c r="O148" s="16" t="s">
        <v>432</v>
      </c>
      <c r="P148" s="18" t="s">
        <v>433</v>
      </c>
      <c r="Q148" s="45">
        <v>93.73</v>
      </c>
      <c r="R148" s="45">
        <v>2506.9499999999998</v>
      </c>
      <c r="S148" s="45">
        <f t="shared" si="32"/>
        <v>2600.6799999999998</v>
      </c>
      <c r="T148" s="64">
        <f t="shared" si="28"/>
        <v>2860.748</v>
      </c>
      <c r="U148" s="65"/>
      <c r="V148" s="65"/>
      <c r="W148" s="21">
        <f t="shared" si="29"/>
        <v>0</v>
      </c>
      <c r="X148" s="22">
        <f t="shared" si="30"/>
        <v>2600.6799999999998</v>
      </c>
      <c r="Y148" s="35">
        <f t="shared" si="31"/>
        <v>1</v>
      </c>
      <c r="Z148" s="20"/>
      <c r="AA148" s="11"/>
      <c r="AB148" s="20"/>
      <c r="AC148" s="24" t="s">
        <v>69</v>
      </c>
      <c r="AD148" s="10" t="s">
        <v>47</v>
      </c>
      <c r="AE148" s="10">
        <v>43228</v>
      </c>
      <c r="AF148" s="48"/>
      <c r="AG148" s="10">
        <v>43313</v>
      </c>
      <c r="AH148" s="25">
        <f t="shared" ref="AH148:AH205" si="33">AG148-AE148</f>
        <v>85</v>
      </c>
      <c r="AK148" s="27"/>
    </row>
    <row r="149" spans="1:37" s="26" customFormat="1" ht="14.25" customHeight="1" x14ac:dyDescent="0.45">
      <c r="A149" s="28" t="s">
        <v>41</v>
      </c>
      <c r="B149" s="8" t="s">
        <v>35</v>
      </c>
      <c r="C149" s="8" t="s">
        <v>36</v>
      </c>
      <c r="D149" s="9" t="s">
        <v>434</v>
      </c>
      <c r="E149" s="9">
        <v>43242</v>
      </c>
      <c r="F149" s="10">
        <v>43243</v>
      </c>
      <c r="G149" s="10">
        <v>43243</v>
      </c>
      <c r="H149" s="14">
        <v>43251</v>
      </c>
      <c r="I149" s="54">
        <v>43256</v>
      </c>
      <c r="J149" s="14">
        <v>43256</v>
      </c>
      <c r="K149" s="14">
        <v>43263</v>
      </c>
      <c r="L149" s="9"/>
      <c r="M149" s="10" t="str">
        <f t="shared" si="26"/>
        <v>May-18</v>
      </c>
      <c r="N149" s="10" t="str">
        <f t="shared" si="27"/>
        <v>Jun-18</v>
      </c>
      <c r="O149" s="16" t="s">
        <v>435</v>
      </c>
      <c r="P149" s="18" t="s">
        <v>436</v>
      </c>
      <c r="Q149" s="45">
        <v>651.87</v>
      </c>
      <c r="R149" s="45">
        <v>755.60000000000059</v>
      </c>
      <c r="S149" s="45">
        <f t="shared" si="32"/>
        <v>1407.4700000000007</v>
      </c>
      <c r="T149" s="64">
        <f t="shared" si="28"/>
        <v>1548.217000000001</v>
      </c>
      <c r="U149" s="65">
        <v>384.84274999999991</v>
      </c>
      <c r="V149" s="65"/>
      <c r="W149" s="21">
        <f t="shared" si="29"/>
        <v>384.84274999999991</v>
      </c>
      <c r="X149" s="22">
        <f t="shared" si="30"/>
        <v>1022.6272500000008</v>
      </c>
      <c r="Y149" s="35">
        <f t="shared" si="31"/>
        <v>0.72657125906768905</v>
      </c>
      <c r="Z149" s="20"/>
      <c r="AA149" s="11"/>
      <c r="AB149" s="20"/>
      <c r="AC149" s="24" t="s">
        <v>73</v>
      </c>
      <c r="AD149" s="10" t="s">
        <v>47</v>
      </c>
      <c r="AE149" s="10">
        <v>43229</v>
      </c>
      <c r="AF149" s="48"/>
      <c r="AG149" s="10">
        <v>43294</v>
      </c>
      <c r="AH149" s="25">
        <f t="shared" si="33"/>
        <v>65</v>
      </c>
      <c r="AK149" s="27"/>
    </row>
    <row r="150" spans="1:37" s="26" customFormat="1" ht="14.25" customHeight="1" x14ac:dyDescent="0.45">
      <c r="A150" s="28" t="s">
        <v>41</v>
      </c>
      <c r="B150" s="8" t="s">
        <v>146</v>
      </c>
      <c r="C150" s="8" t="s">
        <v>36</v>
      </c>
      <c r="D150" s="9"/>
      <c r="E150" s="9"/>
      <c r="F150" s="10">
        <v>43518</v>
      </c>
      <c r="G150" s="10">
        <v>43518</v>
      </c>
      <c r="H150" s="10">
        <v>43518</v>
      </c>
      <c r="I150" s="52"/>
      <c r="J150" s="14">
        <f>G150+14</f>
        <v>43532</v>
      </c>
      <c r="K150" s="51">
        <f>J150+14</f>
        <v>43546</v>
      </c>
      <c r="L150" s="9"/>
      <c r="M150" s="10" t="str">
        <f t="shared" si="26"/>
        <v>Feb-19</v>
      </c>
      <c r="N150" s="10" t="str">
        <f t="shared" si="27"/>
        <v>Mar-19</v>
      </c>
      <c r="O150" s="16" t="s">
        <v>437</v>
      </c>
      <c r="P150" s="18" t="s">
        <v>148</v>
      </c>
      <c r="Q150" s="45">
        <v>1928.04</v>
      </c>
      <c r="R150" s="45">
        <v>9152.64</v>
      </c>
      <c r="S150" s="45">
        <f t="shared" si="32"/>
        <v>11080.68</v>
      </c>
      <c r="T150" s="64">
        <f t="shared" si="28"/>
        <v>12188.748000000001</v>
      </c>
      <c r="U150" s="65">
        <v>5809.6100000000006</v>
      </c>
      <c r="V150" s="65"/>
      <c r="W150" s="21">
        <f t="shared" si="29"/>
        <v>5809.6100000000006</v>
      </c>
      <c r="X150" s="46">
        <f t="shared" si="30"/>
        <v>5271.07</v>
      </c>
      <c r="Y150" s="35">
        <f t="shared" si="31"/>
        <v>0.47569914481782705</v>
      </c>
      <c r="Z150" s="20"/>
      <c r="AA150" s="11"/>
      <c r="AB150" s="20"/>
      <c r="AC150" s="24" t="s">
        <v>46</v>
      </c>
      <c r="AD150" s="10" t="s">
        <v>47</v>
      </c>
      <c r="AE150" s="10">
        <v>43231</v>
      </c>
      <c r="AF150" s="48"/>
      <c r="AG150" s="10">
        <v>43306</v>
      </c>
      <c r="AH150" s="25">
        <f t="shared" si="33"/>
        <v>75</v>
      </c>
      <c r="AK150" s="27"/>
    </row>
    <row r="151" spans="1:37" s="26" customFormat="1" ht="14.25" customHeight="1" x14ac:dyDescent="0.45">
      <c r="A151" s="28" t="s">
        <v>41</v>
      </c>
      <c r="B151" s="8" t="s">
        <v>35</v>
      </c>
      <c r="C151" s="8" t="s">
        <v>36</v>
      </c>
      <c r="D151" s="9" t="s">
        <v>438</v>
      </c>
      <c r="E151" s="9">
        <v>43321</v>
      </c>
      <c r="F151" s="10">
        <v>43297</v>
      </c>
      <c r="G151" s="10">
        <v>43297</v>
      </c>
      <c r="H151" s="14">
        <v>43298</v>
      </c>
      <c r="I151" s="54">
        <v>43312</v>
      </c>
      <c r="J151" s="14">
        <f>G151+14</f>
        <v>43311</v>
      </c>
      <c r="K151" s="14">
        <v>43321</v>
      </c>
      <c r="L151" s="9"/>
      <c r="M151" s="10" t="str">
        <f t="shared" si="26"/>
        <v>Jul-18</v>
      </c>
      <c r="N151" s="10" t="str">
        <f t="shared" si="27"/>
        <v>Aug-18</v>
      </c>
      <c r="O151" s="16" t="s">
        <v>439</v>
      </c>
      <c r="P151" s="18" t="s">
        <v>440</v>
      </c>
      <c r="Q151" s="45">
        <v>646.20000000000005</v>
      </c>
      <c r="R151" s="45">
        <v>3120.5420000000017</v>
      </c>
      <c r="S151" s="45">
        <f t="shared" si="32"/>
        <v>3766.742000000002</v>
      </c>
      <c r="T151" s="64">
        <f t="shared" si="28"/>
        <v>4143.4162000000024</v>
      </c>
      <c r="U151" s="65"/>
      <c r="V151" s="65"/>
      <c r="W151" s="21">
        <f t="shared" si="29"/>
        <v>0</v>
      </c>
      <c r="X151" s="22">
        <f t="shared" si="30"/>
        <v>3766.742000000002</v>
      </c>
      <c r="Y151" s="35">
        <f t="shared" si="31"/>
        <v>1</v>
      </c>
      <c r="Z151" s="20"/>
      <c r="AA151" s="11"/>
      <c r="AB151" s="20"/>
      <c r="AC151" s="24" t="s">
        <v>73</v>
      </c>
      <c r="AD151" s="10" t="s">
        <v>47</v>
      </c>
      <c r="AE151" s="10">
        <v>43231</v>
      </c>
      <c r="AF151" s="48"/>
      <c r="AG151" s="10">
        <v>43277</v>
      </c>
      <c r="AH151" s="25">
        <f t="shared" si="33"/>
        <v>46</v>
      </c>
      <c r="AK151" s="27"/>
    </row>
    <row r="152" spans="1:37" s="26" customFormat="1" ht="14.25" customHeight="1" x14ac:dyDescent="0.45">
      <c r="A152" s="28" t="s">
        <v>41</v>
      </c>
      <c r="B152" s="8" t="s">
        <v>35</v>
      </c>
      <c r="C152" s="8" t="s">
        <v>36</v>
      </c>
      <c r="D152" s="9" t="s">
        <v>441</v>
      </c>
      <c r="E152" s="9">
        <v>43265</v>
      </c>
      <c r="F152" s="10">
        <v>43244</v>
      </c>
      <c r="G152" s="10">
        <v>43245</v>
      </c>
      <c r="H152" s="14">
        <v>43244</v>
      </c>
      <c r="I152" s="54">
        <v>43250</v>
      </c>
      <c r="J152" s="14">
        <v>43256</v>
      </c>
      <c r="K152" s="14">
        <v>43263</v>
      </c>
      <c r="L152" s="9"/>
      <c r="M152" s="10" t="str">
        <f t="shared" si="26"/>
        <v>May-18</v>
      </c>
      <c r="N152" s="10" t="str">
        <f t="shared" si="27"/>
        <v>Jun-18</v>
      </c>
      <c r="O152" s="16" t="s">
        <v>442</v>
      </c>
      <c r="P152" s="18" t="s">
        <v>175</v>
      </c>
      <c r="Q152" s="45">
        <v>1073.74</v>
      </c>
      <c r="R152" s="45">
        <v>14716.48</v>
      </c>
      <c r="S152" s="45">
        <f t="shared" si="32"/>
        <v>15790.22</v>
      </c>
      <c r="T152" s="64">
        <f t="shared" si="28"/>
        <v>17369.242000000002</v>
      </c>
      <c r="U152" s="65">
        <v>11326.55</v>
      </c>
      <c r="V152" s="65"/>
      <c r="W152" s="21">
        <f t="shared" si="29"/>
        <v>11326.55</v>
      </c>
      <c r="X152" s="22">
        <f t="shared" si="30"/>
        <v>4463.67</v>
      </c>
      <c r="Y152" s="35">
        <f t="shared" si="31"/>
        <v>0.28268573838743222</v>
      </c>
      <c r="Z152" s="20"/>
      <c r="AA152" s="11"/>
      <c r="AB152" s="20"/>
      <c r="AC152" s="24" t="s">
        <v>73</v>
      </c>
      <c r="AD152" s="10" t="s">
        <v>47</v>
      </c>
      <c r="AE152" s="10">
        <v>43234</v>
      </c>
      <c r="AF152" s="48"/>
      <c r="AG152" s="10">
        <v>43313</v>
      </c>
      <c r="AH152" s="25">
        <f t="shared" si="33"/>
        <v>79</v>
      </c>
      <c r="AK152" s="27"/>
    </row>
    <row r="153" spans="1:37" s="26" customFormat="1" ht="14.25" customHeight="1" x14ac:dyDescent="0.45">
      <c r="A153" s="8" t="s">
        <v>34</v>
      </c>
      <c r="B153" s="8" t="s">
        <v>65</v>
      </c>
      <c r="C153" s="8" t="s">
        <v>57</v>
      </c>
      <c r="D153" s="9" t="s">
        <v>443</v>
      </c>
      <c r="E153" s="9">
        <v>43382</v>
      </c>
      <c r="F153" s="10">
        <v>43357</v>
      </c>
      <c r="G153" s="10">
        <v>43357</v>
      </c>
      <c r="H153" s="14">
        <v>43361</v>
      </c>
      <c r="I153" s="54">
        <v>43370</v>
      </c>
      <c r="J153" s="14">
        <f>G153+14</f>
        <v>43371</v>
      </c>
      <c r="K153" s="14">
        <v>43382</v>
      </c>
      <c r="L153" s="9"/>
      <c r="M153" s="10" t="str">
        <f t="shared" si="26"/>
        <v>Sep-18</v>
      </c>
      <c r="N153" s="10" t="str">
        <f t="shared" si="27"/>
        <v>Oct-18</v>
      </c>
      <c r="O153" s="16" t="s">
        <v>444</v>
      </c>
      <c r="P153" s="18" t="s">
        <v>445</v>
      </c>
      <c r="Q153" s="45">
        <v>7630.73</v>
      </c>
      <c r="R153" s="95">
        <v>-2923.09</v>
      </c>
      <c r="S153" s="45">
        <f t="shared" si="32"/>
        <v>4707.6399999999994</v>
      </c>
      <c r="T153" s="64">
        <f t="shared" si="28"/>
        <v>5178.4039999999995</v>
      </c>
      <c r="U153" s="65"/>
      <c r="V153" s="65"/>
      <c r="W153" s="21">
        <f t="shared" si="29"/>
        <v>0</v>
      </c>
      <c r="X153" s="22">
        <f t="shared" si="30"/>
        <v>4707.6399999999994</v>
      </c>
      <c r="Y153" s="35">
        <f t="shared" si="31"/>
        <v>1</v>
      </c>
      <c r="Z153" s="20"/>
      <c r="AA153" s="11"/>
      <c r="AB153" s="20"/>
      <c r="AC153" s="24" t="s">
        <v>69</v>
      </c>
      <c r="AD153" s="10" t="s">
        <v>47</v>
      </c>
      <c r="AE153" s="10">
        <v>43234</v>
      </c>
      <c r="AF153" s="48"/>
      <c r="AG153" s="10">
        <v>43266</v>
      </c>
      <c r="AH153" s="25">
        <f t="shared" si="33"/>
        <v>32</v>
      </c>
      <c r="AK153" s="27"/>
    </row>
    <row r="154" spans="1:37" s="26" customFormat="1" ht="14.25" customHeight="1" x14ac:dyDescent="0.45">
      <c r="A154" s="28" t="s">
        <v>41</v>
      </c>
      <c r="B154" s="8" t="s">
        <v>35</v>
      </c>
      <c r="C154" s="8" t="s">
        <v>36</v>
      </c>
      <c r="D154" s="9" t="s">
        <v>446</v>
      </c>
      <c r="E154" s="9">
        <v>43418</v>
      </c>
      <c r="F154" s="10">
        <v>43343</v>
      </c>
      <c r="G154" s="10">
        <v>43343</v>
      </c>
      <c r="H154" s="15">
        <v>43360</v>
      </c>
      <c r="I154" s="49">
        <v>43399</v>
      </c>
      <c r="J154" s="14">
        <f>G154+14</f>
        <v>43357</v>
      </c>
      <c r="K154" s="15">
        <v>43417</v>
      </c>
      <c r="L154" s="9"/>
      <c r="M154" s="10" t="str">
        <f t="shared" si="26"/>
        <v>Aug-18</v>
      </c>
      <c r="N154" s="10" t="str">
        <f t="shared" si="27"/>
        <v>Nov-18</v>
      </c>
      <c r="O154" s="16" t="s">
        <v>447</v>
      </c>
      <c r="P154" s="18" t="s">
        <v>448</v>
      </c>
      <c r="Q154" s="45">
        <v>1998.95</v>
      </c>
      <c r="R154" s="45">
        <v>5280.69</v>
      </c>
      <c r="S154" s="45">
        <f t="shared" si="32"/>
        <v>7279.6399999999994</v>
      </c>
      <c r="T154" s="64">
        <f t="shared" si="28"/>
        <v>8007.6040000000003</v>
      </c>
      <c r="U154" s="65">
        <v>3562.29</v>
      </c>
      <c r="V154" s="106"/>
      <c r="W154" s="21">
        <f t="shared" si="29"/>
        <v>3562.29</v>
      </c>
      <c r="X154" s="22">
        <f t="shared" si="30"/>
        <v>3717.3499999999995</v>
      </c>
      <c r="Y154" s="35">
        <f t="shared" si="31"/>
        <v>0.51065025193553526</v>
      </c>
      <c r="Z154" s="20"/>
      <c r="AA154" s="11"/>
      <c r="AB154" s="20"/>
      <c r="AC154" s="24" t="s">
        <v>73</v>
      </c>
      <c r="AD154" s="10" t="s">
        <v>47</v>
      </c>
      <c r="AE154" s="10">
        <v>43280</v>
      </c>
      <c r="AF154" s="48"/>
      <c r="AG154" s="10">
        <v>43371</v>
      </c>
      <c r="AH154" s="25">
        <f t="shared" si="33"/>
        <v>91</v>
      </c>
      <c r="AK154" s="27"/>
    </row>
    <row r="155" spans="1:37" s="26" customFormat="1" ht="14.25" customHeight="1" x14ac:dyDescent="0.45">
      <c r="A155" s="28" t="s">
        <v>41</v>
      </c>
      <c r="B155" s="8" t="s">
        <v>35</v>
      </c>
      <c r="C155" s="8" t="s">
        <v>36</v>
      </c>
      <c r="D155" s="9" t="s">
        <v>449</v>
      </c>
      <c r="E155" s="9">
        <v>43271</v>
      </c>
      <c r="F155" s="10">
        <v>43251</v>
      </c>
      <c r="G155" s="10">
        <v>43251</v>
      </c>
      <c r="H155" s="14">
        <v>43251</v>
      </c>
      <c r="I155" s="54">
        <v>43256</v>
      </c>
      <c r="J155" s="14">
        <f>G155+14</f>
        <v>43265</v>
      </c>
      <c r="K155" s="14">
        <v>43273</v>
      </c>
      <c r="L155" s="9"/>
      <c r="M155" s="10" t="str">
        <f t="shared" si="26"/>
        <v>May-18</v>
      </c>
      <c r="N155" s="10" t="str">
        <f t="shared" si="27"/>
        <v>Jun-18</v>
      </c>
      <c r="O155" s="16" t="s">
        <v>450</v>
      </c>
      <c r="P155" s="18" t="s">
        <v>411</v>
      </c>
      <c r="Q155" s="45">
        <v>1556.8</v>
      </c>
      <c r="R155" s="65">
        <v>1927.12</v>
      </c>
      <c r="S155" s="45">
        <f t="shared" si="32"/>
        <v>3483.92</v>
      </c>
      <c r="T155" s="64">
        <f t="shared" si="28"/>
        <v>3832.3120000000004</v>
      </c>
      <c r="U155" s="65">
        <v>2361.42</v>
      </c>
      <c r="V155" s="65"/>
      <c r="W155" s="21">
        <f t="shared" si="29"/>
        <v>2361.42</v>
      </c>
      <c r="X155" s="22">
        <f t="shared" si="30"/>
        <v>1122.5</v>
      </c>
      <c r="Y155" s="35">
        <f t="shared" si="31"/>
        <v>0.32219453948425908</v>
      </c>
      <c r="Z155" s="20"/>
      <c r="AA155" s="11"/>
      <c r="AB155" s="20"/>
      <c r="AC155" s="24" t="s">
        <v>73</v>
      </c>
      <c r="AD155" s="10" t="s">
        <v>47</v>
      </c>
      <c r="AE155" s="10">
        <v>43237</v>
      </c>
      <c r="AF155" s="48"/>
      <c r="AG155" s="10">
        <v>43312</v>
      </c>
      <c r="AH155" s="25">
        <f t="shared" si="33"/>
        <v>75</v>
      </c>
      <c r="AK155" s="27"/>
    </row>
    <row r="156" spans="1:37" s="26" customFormat="1" ht="14.25" customHeight="1" x14ac:dyDescent="0.45">
      <c r="A156" s="8" t="s">
        <v>34</v>
      </c>
      <c r="B156" s="8" t="s">
        <v>129</v>
      </c>
      <c r="C156" s="8" t="s">
        <v>36</v>
      </c>
      <c r="D156" s="9" t="s">
        <v>451</v>
      </c>
      <c r="E156" s="9">
        <v>43390</v>
      </c>
      <c r="F156" s="10">
        <v>43367</v>
      </c>
      <c r="G156" s="107">
        <v>43367</v>
      </c>
      <c r="H156" s="55">
        <v>43367</v>
      </c>
      <c r="I156" s="54">
        <v>43370</v>
      </c>
      <c r="J156" s="51">
        <f>F156+14</f>
        <v>43381</v>
      </c>
      <c r="K156" s="51">
        <f>J156+14</f>
        <v>43395</v>
      </c>
      <c r="L156" s="9"/>
      <c r="M156" s="10" t="str">
        <f t="shared" si="26"/>
        <v>Sep-18</v>
      </c>
      <c r="N156" s="10" t="str">
        <f t="shared" si="27"/>
        <v>Oct-18</v>
      </c>
      <c r="O156" s="16" t="s">
        <v>452</v>
      </c>
      <c r="P156" s="18" t="s">
        <v>453</v>
      </c>
      <c r="Q156" s="45">
        <v>4404.1400000000003</v>
      </c>
      <c r="R156" s="45">
        <v>3781.3490000000002</v>
      </c>
      <c r="S156" s="45">
        <f t="shared" si="32"/>
        <v>8185.4890000000005</v>
      </c>
      <c r="T156" s="64">
        <f t="shared" si="28"/>
        <v>9004.0379000000012</v>
      </c>
      <c r="U156" s="65"/>
      <c r="V156" s="65"/>
      <c r="W156" s="21">
        <f t="shared" si="29"/>
        <v>0</v>
      </c>
      <c r="X156" s="22">
        <f t="shared" si="30"/>
        <v>8185.4890000000005</v>
      </c>
      <c r="Y156" s="35">
        <f t="shared" si="31"/>
        <v>1</v>
      </c>
      <c r="Z156" s="20"/>
      <c r="AA156" s="11"/>
      <c r="AB156" s="20"/>
      <c r="AC156" s="24" t="s">
        <v>208</v>
      </c>
      <c r="AD156" s="10">
        <v>43235</v>
      </c>
      <c r="AE156" s="10">
        <v>43238</v>
      </c>
      <c r="AF156" s="63">
        <f>AE156-AD156</f>
        <v>3</v>
      </c>
      <c r="AG156" s="10">
        <v>43271</v>
      </c>
      <c r="AH156" s="25">
        <f t="shared" si="33"/>
        <v>33</v>
      </c>
      <c r="AK156" s="27"/>
    </row>
    <row r="157" spans="1:37" s="26" customFormat="1" ht="14.25" customHeight="1" x14ac:dyDescent="0.45">
      <c r="A157" s="28" t="s">
        <v>41</v>
      </c>
      <c r="B157" s="8" t="s">
        <v>35</v>
      </c>
      <c r="C157" s="8" t="s">
        <v>36</v>
      </c>
      <c r="D157" s="9" t="s">
        <v>454</v>
      </c>
      <c r="E157" s="9">
        <v>43369</v>
      </c>
      <c r="F157" s="10">
        <v>43320</v>
      </c>
      <c r="G157" s="10">
        <v>43320</v>
      </c>
      <c r="H157" s="15">
        <v>43328</v>
      </c>
      <c r="I157" s="49">
        <v>43361</v>
      </c>
      <c r="J157" s="14">
        <f>G157+14</f>
        <v>43334</v>
      </c>
      <c r="K157" s="14">
        <v>43370</v>
      </c>
      <c r="L157" s="9"/>
      <c r="M157" s="10" t="str">
        <f t="shared" si="26"/>
        <v>Aug-18</v>
      </c>
      <c r="N157" s="10" t="str">
        <f t="shared" si="27"/>
        <v>Sep-18</v>
      </c>
      <c r="O157" s="17" t="s">
        <v>455</v>
      </c>
      <c r="P157" s="18" t="s">
        <v>456</v>
      </c>
      <c r="Q157" s="45">
        <v>3333.98</v>
      </c>
      <c r="R157" s="45">
        <v>6685.2</v>
      </c>
      <c r="S157" s="45">
        <f t="shared" si="32"/>
        <v>10019.18</v>
      </c>
      <c r="T157" s="64">
        <f t="shared" si="28"/>
        <v>11021.098000000002</v>
      </c>
      <c r="U157" s="65">
        <v>5626.51</v>
      </c>
      <c r="V157" s="65"/>
      <c r="W157" s="21">
        <f t="shared" si="29"/>
        <v>5626.51</v>
      </c>
      <c r="X157" s="22">
        <f t="shared" si="30"/>
        <v>4392.67</v>
      </c>
      <c r="Y157" s="35">
        <f t="shared" si="31"/>
        <v>0.43842609874261168</v>
      </c>
      <c r="Z157" s="20"/>
      <c r="AA157" s="11"/>
      <c r="AB157" s="20"/>
      <c r="AC157" s="24" t="s">
        <v>73</v>
      </c>
      <c r="AD157" s="10" t="s">
        <v>47</v>
      </c>
      <c r="AE157" s="10">
        <v>43238</v>
      </c>
      <c r="AF157" s="48"/>
      <c r="AG157" s="10">
        <v>43313</v>
      </c>
      <c r="AH157" s="25">
        <f t="shared" si="33"/>
        <v>75</v>
      </c>
      <c r="AK157" s="27"/>
    </row>
    <row r="158" spans="1:37" s="26" customFormat="1" ht="14.25" customHeight="1" x14ac:dyDescent="0.45">
      <c r="A158" s="28" t="s">
        <v>41</v>
      </c>
      <c r="B158" s="8" t="s">
        <v>35</v>
      </c>
      <c r="C158" s="8" t="s">
        <v>36</v>
      </c>
      <c r="D158" s="9" t="s">
        <v>457</v>
      </c>
      <c r="E158" s="9">
        <v>43221</v>
      </c>
      <c r="F158" s="10">
        <v>43241</v>
      </c>
      <c r="G158" s="10">
        <v>43242</v>
      </c>
      <c r="H158" s="14">
        <v>43242</v>
      </c>
      <c r="I158" s="54">
        <v>43244</v>
      </c>
      <c r="J158" s="14">
        <v>43251</v>
      </c>
      <c r="K158" s="14">
        <v>43258</v>
      </c>
      <c r="L158" s="9"/>
      <c r="M158" s="10" t="str">
        <f t="shared" si="26"/>
        <v>May-18</v>
      </c>
      <c r="N158" s="10" t="str">
        <f t="shared" si="27"/>
        <v>Jun-18</v>
      </c>
      <c r="O158" s="16" t="s">
        <v>458</v>
      </c>
      <c r="P158" s="18" t="s">
        <v>366</v>
      </c>
      <c r="Q158" s="45">
        <v>1635.31</v>
      </c>
      <c r="R158" s="45">
        <v>845.60000000000559</v>
      </c>
      <c r="S158" s="45">
        <f t="shared" si="32"/>
        <v>2480.9100000000053</v>
      </c>
      <c r="T158" s="64">
        <f t="shared" si="28"/>
        <v>2729.0010000000061</v>
      </c>
      <c r="U158" s="65">
        <v>976.93</v>
      </c>
      <c r="V158" s="65"/>
      <c r="W158" s="21">
        <f t="shared" si="29"/>
        <v>976.93</v>
      </c>
      <c r="X158" s="22">
        <f t="shared" si="30"/>
        <v>1503.9800000000055</v>
      </c>
      <c r="Y158" s="35">
        <f t="shared" si="31"/>
        <v>0.60622110435283916</v>
      </c>
      <c r="Z158" s="20"/>
      <c r="AA158" s="11"/>
      <c r="AB158" s="20"/>
      <c r="AC158" s="24" t="s">
        <v>319</v>
      </c>
      <c r="AD158" s="10" t="s">
        <v>47</v>
      </c>
      <c r="AE158" s="10">
        <v>43228</v>
      </c>
      <c r="AF158" s="48"/>
      <c r="AG158" s="10">
        <v>43314</v>
      </c>
      <c r="AH158" s="25">
        <f t="shared" si="33"/>
        <v>86</v>
      </c>
      <c r="AK158" s="27"/>
    </row>
    <row r="159" spans="1:37" s="26" customFormat="1" ht="14.25" customHeight="1" x14ac:dyDescent="0.45">
      <c r="A159" s="28" t="s">
        <v>41</v>
      </c>
      <c r="B159" s="8" t="s">
        <v>35</v>
      </c>
      <c r="C159" s="8" t="s">
        <v>36</v>
      </c>
      <c r="D159" s="9" t="s">
        <v>459</v>
      </c>
      <c r="E159" s="9">
        <v>43369</v>
      </c>
      <c r="F159" s="10">
        <v>43339</v>
      </c>
      <c r="G159" s="10">
        <v>43339</v>
      </c>
      <c r="H159" s="14">
        <v>43339</v>
      </c>
      <c r="I159" s="54">
        <v>43361</v>
      </c>
      <c r="J159" s="14">
        <f>G159+14</f>
        <v>43353</v>
      </c>
      <c r="K159" s="14">
        <v>43370</v>
      </c>
      <c r="L159" s="9"/>
      <c r="M159" s="10" t="str">
        <f t="shared" si="26"/>
        <v>Aug-18</v>
      </c>
      <c r="N159" s="10" t="str">
        <f t="shared" si="27"/>
        <v>Sep-18</v>
      </c>
      <c r="O159" s="17" t="s">
        <v>460</v>
      </c>
      <c r="P159" s="18" t="s">
        <v>461</v>
      </c>
      <c r="Q159" s="45">
        <v>1998.69</v>
      </c>
      <c r="R159" s="45">
        <v>12541.45</v>
      </c>
      <c r="S159" s="45">
        <f t="shared" si="32"/>
        <v>14540.140000000001</v>
      </c>
      <c r="T159" s="64">
        <f t="shared" si="28"/>
        <v>15994.154000000002</v>
      </c>
      <c r="U159" s="65">
        <v>10938.670000000002</v>
      </c>
      <c r="V159" s="65"/>
      <c r="W159" s="21">
        <f t="shared" si="29"/>
        <v>10938.670000000002</v>
      </c>
      <c r="X159" s="22">
        <f t="shared" si="30"/>
        <v>3601.4699999999993</v>
      </c>
      <c r="Y159" s="35">
        <f t="shared" si="31"/>
        <v>0.24769156280475974</v>
      </c>
      <c r="Z159" s="20"/>
      <c r="AA159" s="11"/>
      <c r="AB159" s="20"/>
      <c r="AC159" s="24" t="s">
        <v>73</v>
      </c>
      <c r="AD159" s="10" t="s">
        <v>47</v>
      </c>
      <c r="AE159" s="10">
        <v>43241</v>
      </c>
      <c r="AF159" s="48"/>
      <c r="AG159" s="10">
        <v>43317</v>
      </c>
      <c r="AH159" s="25">
        <f t="shared" si="33"/>
        <v>76</v>
      </c>
      <c r="AK159" s="27"/>
    </row>
    <row r="160" spans="1:37" s="26" customFormat="1" ht="14.25" customHeight="1" x14ac:dyDescent="0.45">
      <c r="A160" s="28" t="s">
        <v>41</v>
      </c>
      <c r="B160" s="28" t="s">
        <v>42</v>
      </c>
      <c r="C160" s="28" t="s">
        <v>43</v>
      </c>
      <c r="D160" s="9"/>
      <c r="E160" s="9"/>
      <c r="F160" s="10">
        <v>43541</v>
      </c>
      <c r="G160" s="10">
        <v>43541</v>
      </c>
      <c r="H160" s="51"/>
      <c r="I160" s="52"/>
      <c r="J160" s="51">
        <f>G160+14</f>
        <v>43555</v>
      </c>
      <c r="K160" s="51">
        <f>J160+14</f>
        <v>43569</v>
      </c>
      <c r="L160" s="9"/>
      <c r="M160" s="10" t="str">
        <f t="shared" si="26"/>
        <v>Mar-19</v>
      </c>
      <c r="N160" s="10" t="str">
        <f t="shared" si="27"/>
        <v>Apr-19</v>
      </c>
      <c r="O160" s="16" t="s">
        <v>462</v>
      </c>
      <c r="P160" s="18" t="s">
        <v>79</v>
      </c>
      <c r="Q160" s="45">
        <v>1347.33</v>
      </c>
      <c r="R160" s="45">
        <v>1862.3</v>
      </c>
      <c r="S160" s="45">
        <f t="shared" si="32"/>
        <v>3209.63</v>
      </c>
      <c r="T160" s="64">
        <f t="shared" si="28"/>
        <v>3530.5930000000003</v>
      </c>
      <c r="U160" s="65">
        <v>1102.3800000000001</v>
      </c>
      <c r="V160" s="65"/>
      <c r="W160" s="21">
        <f t="shared" si="29"/>
        <v>1102.3800000000001</v>
      </c>
      <c r="X160" s="22">
        <f t="shared" si="30"/>
        <v>2107.25</v>
      </c>
      <c r="Y160" s="35">
        <f t="shared" si="31"/>
        <v>0.65653985038773932</v>
      </c>
      <c r="Z160" s="20"/>
      <c r="AA160" s="11"/>
      <c r="AB160" s="20"/>
      <c r="AC160" s="24" t="s">
        <v>73</v>
      </c>
      <c r="AD160" s="10" t="s">
        <v>47</v>
      </c>
      <c r="AE160" s="10">
        <v>43241</v>
      </c>
      <c r="AF160" s="48"/>
      <c r="AG160" s="10">
        <v>43318</v>
      </c>
      <c r="AH160" s="25">
        <f t="shared" si="33"/>
        <v>77</v>
      </c>
      <c r="AK160" s="27"/>
    </row>
    <row r="161" spans="1:37" s="26" customFormat="1" ht="14.25" customHeight="1" x14ac:dyDescent="0.45">
      <c r="A161" s="28" t="s">
        <v>41</v>
      </c>
      <c r="B161" s="8" t="s">
        <v>100</v>
      </c>
      <c r="C161" s="8" t="s">
        <v>57</v>
      </c>
      <c r="D161" s="9"/>
      <c r="E161" s="9"/>
      <c r="F161" s="10"/>
      <c r="G161" s="10">
        <v>43554</v>
      </c>
      <c r="H161" s="51"/>
      <c r="I161" s="52"/>
      <c r="J161" s="51"/>
      <c r="K161" s="51"/>
      <c r="L161" s="9"/>
      <c r="M161" s="10" t="str">
        <f t="shared" si="26"/>
        <v>Mar-19</v>
      </c>
      <c r="N161" s="10" t="str">
        <f t="shared" si="27"/>
        <v>Jan-00</v>
      </c>
      <c r="O161" s="16" t="s">
        <v>463</v>
      </c>
      <c r="P161" s="18" t="s">
        <v>464</v>
      </c>
      <c r="Q161" s="45">
        <v>1592.08</v>
      </c>
      <c r="R161" s="45"/>
      <c r="S161" s="45">
        <f t="shared" si="32"/>
        <v>1592.08</v>
      </c>
      <c r="T161" s="64">
        <f t="shared" si="28"/>
        <v>1751.288</v>
      </c>
      <c r="U161" s="65"/>
      <c r="V161" s="65"/>
      <c r="W161" s="21">
        <f t="shared" si="29"/>
        <v>0</v>
      </c>
      <c r="X161" s="22">
        <f t="shared" si="30"/>
        <v>1592.08</v>
      </c>
      <c r="Y161" s="35">
        <f t="shared" si="31"/>
        <v>1</v>
      </c>
      <c r="Z161" s="20"/>
      <c r="AA161" s="11"/>
      <c r="AB161" s="20"/>
      <c r="AC161" s="24" t="s">
        <v>61</v>
      </c>
      <c r="AD161" s="10" t="s">
        <v>47</v>
      </c>
      <c r="AE161" s="10">
        <v>43242</v>
      </c>
      <c r="AF161" s="48"/>
      <c r="AG161" s="10">
        <v>43318</v>
      </c>
      <c r="AH161" s="25">
        <f t="shared" si="33"/>
        <v>76</v>
      </c>
      <c r="AK161" s="27"/>
    </row>
    <row r="162" spans="1:37" s="26" customFormat="1" ht="14.25" customHeight="1" x14ac:dyDescent="0.45">
      <c r="A162" s="28" t="s">
        <v>41</v>
      </c>
      <c r="B162" s="28" t="s">
        <v>42</v>
      </c>
      <c r="C162" s="28" t="s">
        <v>43</v>
      </c>
      <c r="D162" s="9"/>
      <c r="E162" s="9"/>
      <c r="F162" s="10"/>
      <c r="G162" s="10">
        <v>43646</v>
      </c>
      <c r="H162" s="51"/>
      <c r="I162" s="52"/>
      <c r="J162" s="51"/>
      <c r="K162" s="51"/>
      <c r="L162" s="9"/>
      <c r="M162" s="10" t="str">
        <f t="shared" si="26"/>
        <v>Jun-19</v>
      </c>
      <c r="N162" s="10" t="str">
        <f t="shared" si="27"/>
        <v>Jan-00</v>
      </c>
      <c r="O162" s="16" t="s">
        <v>465</v>
      </c>
      <c r="P162" s="18" t="s">
        <v>81</v>
      </c>
      <c r="Q162" s="45">
        <v>1764.06</v>
      </c>
      <c r="R162" s="45"/>
      <c r="S162" s="45">
        <f t="shared" si="32"/>
        <v>1764.06</v>
      </c>
      <c r="T162" s="64">
        <f t="shared" si="28"/>
        <v>1940.4660000000001</v>
      </c>
      <c r="U162" s="65">
        <v>1979.12</v>
      </c>
      <c r="V162" s="65"/>
      <c r="W162" s="78">
        <f t="shared" si="29"/>
        <v>1979.12</v>
      </c>
      <c r="X162" s="22">
        <f t="shared" si="30"/>
        <v>-215.05999999999995</v>
      </c>
      <c r="Y162" s="35">
        <f t="shared" si="31"/>
        <v>-0.12191195310817089</v>
      </c>
      <c r="Z162" s="20"/>
      <c r="AA162" s="11"/>
      <c r="AB162" s="20"/>
      <c r="AC162" s="24" t="s">
        <v>73</v>
      </c>
      <c r="AD162" s="10" t="s">
        <v>47</v>
      </c>
      <c r="AE162" s="10">
        <v>43301</v>
      </c>
      <c r="AF162" s="63"/>
      <c r="AG162" s="10">
        <v>43390</v>
      </c>
      <c r="AH162" s="25">
        <f t="shared" si="33"/>
        <v>89</v>
      </c>
      <c r="AK162" s="27"/>
    </row>
    <row r="163" spans="1:37" s="26" customFormat="1" ht="14.25" customHeight="1" x14ac:dyDescent="0.45">
      <c r="A163" s="28" t="s">
        <v>41</v>
      </c>
      <c r="B163" s="8" t="s">
        <v>35</v>
      </c>
      <c r="C163" s="8" t="s">
        <v>36</v>
      </c>
      <c r="D163" s="9" t="s">
        <v>466</v>
      </c>
      <c r="E163" s="9">
        <v>43342</v>
      </c>
      <c r="F163" s="10">
        <v>43280</v>
      </c>
      <c r="G163" s="11">
        <v>43280</v>
      </c>
      <c r="H163" s="15">
        <v>43283</v>
      </c>
      <c r="I163" s="49">
        <v>43307</v>
      </c>
      <c r="J163" s="14">
        <f>G163+14</f>
        <v>43294</v>
      </c>
      <c r="K163" s="15">
        <v>43342</v>
      </c>
      <c r="L163" s="9"/>
      <c r="M163" s="10" t="str">
        <f t="shared" si="26"/>
        <v>Jun-18</v>
      </c>
      <c r="N163" s="10" t="str">
        <f t="shared" si="27"/>
        <v>Aug-18</v>
      </c>
      <c r="O163" s="16" t="s">
        <v>467</v>
      </c>
      <c r="P163" s="18" t="s">
        <v>468</v>
      </c>
      <c r="Q163" s="45">
        <v>1804.33</v>
      </c>
      <c r="R163" s="45">
        <v>12670.33</v>
      </c>
      <c r="S163" s="45">
        <f t="shared" si="32"/>
        <v>14474.66</v>
      </c>
      <c r="T163" s="64">
        <f t="shared" si="28"/>
        <v>15922.126000000002</v>
      </c>
      <c r="U163" s="65">
        <v>3866.63</v>
      </c>
      <c r="V163" s="65"/>
      <c r="W163" s="21">
        <f t="shared" si="29"/>
        <v>3866.63</v>
      </c>
      <c r="X163" s="22">
        <f t="shared" si="30"/>
        <v>10608.029999999999</v>
      </c>
      <c r="Y163" s="35">
        <f t="shared" si="31"/>
        <v>0.73286902766628015</v>
      </c>
      <c r="Z163" s="20"/>
      <c r="AA163" s="11"/>
      <c r="AB163" s="20"/>
      <c r="AC163" s="24" t="s">
        <v>73</v>
      </c>
      <c r="AD163" s="10" t="s">
        <v>47</v>
      </c>
      <c r="AE163" s="10">
        <v>43244</v>
      </c>
      <c r="AF163" s="48"/>
      <c r="AG163" s="10">
        <v>43250</v>
      </c>
      <c r="AH163" s="25">
        <f t="shared" si="33"/>
        <v>6</v>
      </c>
      <c r="AK163" s="27"/>
    </row>
    <row r="164" spans="1:37" s="26" customFormat="1" ht="14.25" customHeight="1" x14ac:dyDescent="0.45">
      <c r="A164" s="28" t="s">
        <v>41</v>
      </c>
      <c r="B164" s="8" t="s">
        <v>35</v>
      </c>
      <c r="C164" s="8" t="s">
        <v>36</v>
      </c>
      <c r="D164" s="9" t="s">
        <v>469</v>
      </c>
      <c r="E164" s="9">
        <v>43369</v>
      </c>
      <c r="F164" s="10">
        <v>43311</v>
      </c>
      <c r="G164" s="11">
        <v>43311</v>
      </c>
      <c r="H164" s="14">
        <v>43341</v>
      </c>
      <c r="I164" s="54">
        <v>43361</v>
      </c>
      <c r="J164" s="14">
        <f>G164+14</f>
        <v>43325</v>
      </c>
      <c r="K164" s="14">
        <v>43370</v>
      </c>
      <c r="L164" s="9"/>
      <c r="M164" s="10" t="str">
        <f t="shared" si="26"/>
        <v>Jul-18</v>
      </c>
      <c r="N164" s="10" t="str">
        <f t="shared" si="27"/>
        <v>Sep-18</v>
      </c>
      <c r="O164" s="16" t="s">
        <v>470</v>
      </c>
      <c r="P164" s="18" t="s">
        <v>98</v>
      </c>
      <c r="Q164" s="45">
        <v>1987.42</v>
      </c>
      <c r="R164" s="45">
        <v>5857.75</v>
      </c>
      <c r="S164" s="45">
        <f t="shared" si="32"/>
        <v>7845.17</v>
      </c>
      <c r="T164" s="64">
        <f t="shared" si="28"/>
        <v>8629.6869999999999</v>
      </c>
      <c r="U164" s="65">
        <v>4357.68</v>
      </c>
      <c r="V164" s="65"/>
      <c r="W164" s="21">
        <f t="shared" si="29"/>
        <v>4357.68</v>
      </c>
      <c r="X164" s="22">
        <f t="shared" si="30"/>
        <v>3487.49</v>
      </c>
      <c r="Y164" s="35">
        <f t="shared" si="31"/>
        <v>0.4445397614073372</v>
      </c>
      <c r="Z164" s="20"/>
      <c r="AA164" s="11"/>
      <c r="AB164" s="20"/>
      <c r="AC164" s="24" t="s">
        <v>73</v>
      </c>
      <c r="AD164" s="10" t="s">
        <v>47</v>
      </c>
      <c r="AE164" s="10">
        <v>43245</v>
      </c>
      <c r="AF164" s="48"/>
      <c r="AG164" s="10">
        <v>43266</v>
      </c>
      <c r="AH164" s="25">
        <f t="shared" si="33"/>
        <v>21</v>
      </c>
      <c r="AK164" s="27"/>
    </row>
    <row r="165" spans="1:37" s="26" customFormat="1" ht="14.25" customHeight="1" x14ac:dyDescent="0.45">
      <c r="A165" s="28" t="s">
        <v>41</v>
      </c>
      <c r="B165" s="8" t="s">
        <v>100</v>
      </c>
      <c r="C165" s="8" t="s">
        <v>57</v>
      </c>
      <c r="D165" s="9" t="s">
        <v>471</v>
      </c>
      <c r="E165" s="9">
        <v>43284</v>
      </c>
      <c r="F165" s="10">
        <v>43270</v>
      </c>
      <c r="G165" s="10">
        <v>43270</v>
      </c>
      <c r="H165" s="14">
        <v>43283</v>
      </c>
      <c r="I165" s="54">
        <v>43285</v>
      </c>
      <c r="J165" s="14">
        <f>G165+14</f>
        <v>43284</v>
      </c>
      <c r="K165" s="14">
        <f>J165+14</f>
        <v>43298</v>
      </c>
      <c r="L165" s="9"/>
      <c r="M165" s="10" t="str">
        <f t="shared" si="26"/>
        <v>Jun-18</v>
      </c>
      <c r="N165" s="10" t="str">
        <f t="shared" si="27"/>
        <v>Jul-18</v>
      </c>
      <c r="O165" s="16" t="s">
        <v>472</v>
      </c>
      <c r="P165" s="18" t="s">
        <v>103</v>
      </c>
      <c r="Q165" s="45">
        <v>11050.52</v>
      </c>
      <c r="R165" s="45">
        <v>9243.7120000000159</v>
      </c>
      <c r="S165" s="45">
        <f t="shared" si="32"/>
        <v>20294.232000000018</v>
      </c>
      <c r="T165" s="64">
        <f t="shared" si="28"/>
        <v>22323.655200000023</v>
      </c>
      <c r="U165" s="65">
        <v>5530.26</v>
      </c>
      <c r="V165" s="65">
        <v>3905.8592500000004</v>
      </c>
      <c r="W165" s="21">
        <f t="shared" si="29"/>
        <v>9436.1192499999997</v>
      </c>
      <c r="X165" s="22">
        <f t="shared" si="30"/>
        <v>10858.112750000018</v>
      </c>
      <c r="Y165" s="35">
        <f t="shared" si="31"/>
        <v>0.53503442505239951</v>
      </c>
      <c r="Z165" s="20"/>
      <c r="AA165" s="11"/>
      <c r="AB165" s="20"/>
      <c r="AC165" s="24" t="s">
        <v>55</v>
      </c>
      <c r="AD165" s="10" t="s">
        <v>47</v>
      </c>
      <c r="AE165" s="10">
        <v>43231</v>
      </c>
      <c r="AF165" s="48"/>
      <c r="AG165" s="10">
        <v>43243</v>
      </c>
      <c r="AH165" s="25">
        <f t="shared" si="33"/>
        <v>12</v>
      </c>
      <c r="AK165" s="27"/>
    </row>
    <row r="166" spans="1:37" s="26" customFormat="1" ht="14.25" customHeight="1" x14ac:dyDescent="0.45">
      <c r="A166" s="28" t="s">
        <v>41</v>
      </c>
      <c r="B166" s="8" t="s">
        <v>35</v>
      </c>
      <c r="C166" s="8" t="s">
        <v>43</v>
      </c>
      <c r="D166" s="9" t="s">
        <v>473</v>
      </c>
      <c r="E166" s="9">
        <v>43511</v>
      </c>
      <c r="F166" s="10">
        <v>43448</v>
      </c>
      <c r="G166" s="11">
        <v>43448</v>
      </c>
      <c r="H166" s="15">
        <v>43451</v>
      </c>
      <c r="I166" s="49">
        <v>43495</v>
      </c>
      <c r="J166" s="15">
        <v>43107</v>
      </c>
      <c r="K166" s="15">
        <v>43511</v>
      </c>
      <c r="L166" s="9"/>
      <c r="M166" s="10" t="str">
        <f t="shared" si="26"/>
        <v>Dec-18</v>
      </c>
      <c r="N166" s="10" t="str">
        <f t="shared" si="27"/>
        <v>Feb-19</v>
      </c>
      <c r="O166" s="16" t="s">
        <v>474</v>
      </c>
      <c r="P166" s="18" t="s">
        <v>475</v>
      </c>
      <c r="Q166" s="45">
        <v>5102.55</v>
      </c>
      <c r="R166" s="45">
        <v>9554.26</v>
      </c>
      <c r="S166" s="45">
        <f t="shared" si="32"/>
        <v>14656.810000000001</v>
      </c>
      <c r="T166" s="64">
        <f t="shared" si="28"/>
        <v>16122.491000000004</v>
      </c>
      <c r="U166" s="65">
        <v>2299.5</v>
      </c>
      <c r="V166" s="65"/>
      <c r="W166" s="21">
        <f t="shared" si="29"/>
        <v>2299.5</v>
      </c>
      <c r="X166" s="22">
        <f t="shared" si="30"/>
        <v>12357.310000000001</v>
      </c>
      <c r="Y166" s="35">
        <f t="shared" si="31"/>
        <v>0.84311047219688329</v>
      </c>
      <c r="Z166" s="20"/>
      <c r="AA166" s="11"/>
      <c r="AB166" s="20"/>
      <c r="AC166" s="24" t="s">
        <v>73</v>
      </c>
      <c r="AD166" s="10" t="s">
        <v>47</v>
      </c>
      <c r="AE166" s="10">
        <v>43248</v>
      </c>
      <c r="AF166" s="48"/>
      <c r="AG166" s="10">
        <v>43317</v>
      </c>
      <c r="AH166" s="25">
        <f t="shared" si="33"/>
        <v>69</v>
      </c>
      <c r="AK166" s="27"/>
    </row>
    <row r="167" spans="1:37" s="26" customFormat="1" ht="14.25" customHeight="1" x14ac:dyDescent="0.45">
      <c r="A167" s="8" t="s">
        <v>34</v>
      </c>
      <c r="B167" s="8" t="s">
        <v>35</v>
      </c>
      <c r="C167" s="8" t="s">
        <v>36</v>
      </c>
      <c r="D167" s="91" t="s">
        <v>283</v>
      </c>
      <c r="E167" s="9">
        <v>43271</v>
      </c>
      <c r="F167" s="10">
        <v>43249</v>
      </c>
      <c r="G167" s="11">
        <v>43249</v>
      </c>
      <c r="H167" s="14">
        <v>43251</v>
      </c>
      <c r="I167" s="54">
        <v>43256</v>
      </c>
      <c r="J167" s="77">
        <v>43265</v>
      </c>
      <c r="K167" s="14">
        <f>J167+14</f>
        <v>43279</v>
      </c>
      <c r="L167" s="9"/>
      <c r="M167" s="10" t="str">
        <f t="shared" si="26"/>
        <v>May-18</v>
      </c>
      <c r="N167" s="10" t="str">
        <f t="shared" si="27"/>
        <v>Jun-18</v>
      </c>
      <c r="O167" s="16" t="s">
        <v>476</v>
      </c>
      <c r="P167" s="18" t="s">
        <v>211</v>
      </c>
      <c r="Q167" s="45">
        <v>2549.4500000000003</v>
      </c>
      <c r="R167" s="45">
        <v>1147.33</v>
      </c>
      <c r="S167" s="45">
        <f t="shared" si="32"/>
        <v>3696.78</v>
      </c>
      <c r="T167" s="64">
        <f t="shared" si="28"/>
        <v>4066.4580000000005</v>
      </c>
      <c r="U167" s="65">
        <v>1826.69</v>
      </c>
      <c r="V167" s="65"/>
      <c r="W167" s="21">
        <f t="shared" si="29"/>
        <v>1826.69</v>
      </c>
      <c r="X167" s="22">
        <f t="shared" si="30"/>
        <v>1870.0900000000001</v>
      </c>
      <c r="Y167" s="35">
        <f t="shared" si="31"/>
        <v>0.50586997332813965</v>
      </c>
      <c r="Z167" s="20"/>
      <c r="AA167" s="11"/>
      <c r="AB167" s="20"/>
      <c r="AC167" s="24" t="s">
        <v>128</v>
      </c>
      <c r="AD167" s="10">
        <v>43242</v>
      </c>
      <c r="AE167" s="10">
        <v>43250</v>
      </c>
      <c r="AF167" s="48"/>
      <c r="AG167" s="10">
        <v>43311</v>
      </c>
      <c r="AH167" s="25">
        <f t="shared" si="33"/>
        <v>61</v>
      </c>
      <c r="AK167" s="27"/>
    </row>
    <row r="168" spans="1:37" s="38" customFormat="1" ht="14.25" customHeight="1" x14ac:dyDescent="0.45">
      <c r="A168" s="28" t="s">
        <v>41</v>
      </c>
      <c r="B168" s="28" t="s">
        <v>35</v>
      </c>
      <c r="C168" s="8" t="s">
        <v>36</v>
      </c>
      <c r="D168" s="29" t="s">
        <v>477</v>
      </c>
      <c r="E168" s="29">
        <v>43378</v>
      </c>
      <c r="F168" s="11">
        <v>43297</v>
      </c>
      <c r="G168" s="11">
        <v>43298</v>
      </c>
      <c r="H168" s="62">
        <v>43350</v>
      </c>
      <c r="I168" s="108">
        <v>43368</v>
      </c>
      <c r="J168" s="12">
        <f>G168+14</f>
        <v>43312</v>
      </c>
      <c r="K168" s="12">
        <v>43382</v>
      </c>
      <c r="L168" s="29"/>
      <c r="M168" s="10" t="str">
        <f t="shared" si="26"/>
        <v>Jul-18</v>
      </c>
      <c r="N168" s="10" t="str">
        <f t="shared" si="27"/>
        <v>Oct-18</v>
      </c>
      <c r="O168" s="17" t="s">
        <v>478</v>
      </c>
      <c r="P168" s="33" t="s">
        <v>235</v>
      </c>
      <c r="Q168" s="32">
        <v>6541.61</v>
      </c>
      <c r="R168" s="109">
        <v>28541.26</v>
      </c>
      <c r="S168" s="45">
        <f t="shared" si="32"/>
        <v>35082.869999999995</v>
      </c>
      <c r="T168" s="64">
        <f t="shared" si="28"/>
        <v>38591.156999999999</v>
      </c>
      <c r="U168" s="34">
        <v>25943.58</v>
      </c>
      <c r="V168" s="34"/>
      <c r="W168" s="21">
        <f t="shared" si="29"/>
        <v>25943.58</v>
      </c>
      <c r="X168" s="22">
        <f t="shared" si="30"/>
        <v>9139.2899999999936</v>
      </c>
      <c r="Y168" s="35">
        <f t="shared" si="31"/>
        <v>0.2605057681996939</v>
      </c>
      <c r="Z168" s="21"/>
      <c r="AA168" s="11"/>
      <c r="AB168" s="21"/>
      <c r="AC168" s="24" t="s">
        <v>73</v>
      </c>
      <c r="AD168" s="10" t="s">
        <v>47</v>
      </c>
      <c r="AE168" s="10">
        <v>43250</v>
      </c>
      <c r="AF168" s="63"/>
      <c r="AG168" s="11">
        <v>43356</v>
      </c>
      <c r="AH168" s="25">
        <f t="shared" si="33"/>
        <v>106</v>
      </c>
      <c r="AK168" s="39"/>
    </row>
    <row r="169" spans="1:37" s="38" customFormat="1" ht="14.25" customHeight="1" x14ac:dyDescent="0.45">
      <c r="A169" s="28" t="s">
        <v>41</v>
      </c>
      <c r="B169" s="28" t="s">
        <v>35</v>
      </c>
      <c r="C169" s="8" t="s">
        <v>36</v>
      </c>
      <c r="D169" s="29" t="s">
        <v>479</v>
      </c>
      <c r="E169" s="29">
        <v>43321</v>
      </c>
      <c r="F169" s="11">
        <v>43294</v>
      </c>
      <c r="G169" s="11">
        <v>43294</v>
      </c>
      <c r="H169" s="12">
        <v>43298</v>
      </c>
      <c r="I169" s="13">
        <v>43312</v>
      </c>
      <c r="J169" s="12">
        <f>G169+14</f>
        <v>43308</v>
      </c>
      <c r="K169" s="12">
        <v>43321</v>
      </c>
      <c r="L169" s="29"/>
      <c r="M169" s="10" t="str">
        <f t="shared" si="26"/>
        <v>Jul-18</v>
      </c>
      <c r="N169" s="10" t="str">
        <f t="shared" si="27"/>
        <v>Aug-18</v>
      </c>
      <c r="O169" s="17" t="s">
        <v>480</v>
      </c>
      <c r="P169" s="33" t="s">
        <v>481</v>
      </c>
      <c r="Q169" s="32">
        <v>1091.81</v>
      </c>
      <c r="R169" s="32">
        <v>12377.624559476861</v>
      </c>
      <c r="S169" s="45">
        <f t="shared" si="32"/>
        <v>13469.43455947686</v>
      </c>
      <c r="T169" s="64">
        <f t="shared" si="28"/>
        <v>14816.378015424547</v>
      </c>
      <c r="U169" s="65">
        <v>4029.22</v>
      </c>
      <c r="V169" s="65"/>
      <c r="W169" s="21">
        <f t="shared" si="29"/>
        <v>4029.22</v>
      </c>
      <c r="X169" s="22">
        <f t="shared" si="30"/>
        <v>9440.2145594768608</v>
      </c>
      <c r="Y169" s="35">
        <f t="shared" si="31"/>
        <v>0.70086197885975021</v>
      </c>
      <c r="Z169" s="20"/>
      <c r="AA169" s="11"/>
      <c r="AB169" s="20"/>
      <c r="AC169" s="24" t="s">
        <v>73</v>
      </c>
      <c r="AD169" s="11" t="s">
        <v>47</v>
      </c>
      <c r="AE169" s="11">
        <v>43250</v>
      </c>
      <c r="AF169" s="63"/>
      <c r="AG169" s="11">
        <v>43330</v>
      </c>
      <c r="AH169" s="25">
        <f t="shared" si="33"/>
        <v>80</v>
      </c>
      <c r="AK169" s="39"/>
    </row>
    <row r="170" spans="1:37" s="38" customFormat="1" ht="14.25" customHeight="1" x14ac:dyDescent="0.45">
      <c r="A170" s="28" t="s">
        <v>41</v>
      </c>
      <c r="B170" s="28" t="s">
        <v>35</v>
      </c>
      <c r="C170" s="28" t="s">
        <v>43</v>
      </c>
      <c r="D170" s="29" t="s">
        <v>482</v>
      </c>
      <c r="E170" s="29">
        <v>43481</v>
      </c>
      <c r="F170" s="11">
        <v>43404</v>
      </c>
      <c r="G170" s="11">
        <v>43404</v>
      </c>
      <c r="H170" s="62">
        <v>43418</v>
      </c>
      <c r="I170" s="108">
        <v>43452</v>
      </c>
      <c r="J170" s="12">
        <f>G170+14</f>
        <v>43418</v>
      </c>
      <c r="K170" s="62">
        <v>43480</v>
      </c>
      <c r="L170" s="29"/>
      <c r="M170" s="10" t="str">
        <f t="shared" si="26"/>
        <v>Oct-18</v>
      </c>
      <c r="N170" s="10" t="str">
        <f t="shared" si="27"/>
        <v>Jan-19</v>
      </c>
      <c r="O170" s="17" t="s">
        <v>483</v>
      </c>
      <c r="P170" s="33" t="s">
        <v>484</v>
      </c>
      <c r="Q170" s="32">
        <v>2864.22</v>
      </c>
      <c r="R170" s="32">
        <v>24700.93</v>
      </c>
      <c r="S170" s="45">
        <f t="shared" si="32"/>
        <v>27565.15</v>
      </c>
      <c r="T170" s="64">
        <f t="shared" si="28"/>
        <v>30321.665000000005</v>
      </c>
      <c r="U170" s="65">
        <v>3453.83</v>
      </c>
      <c r="V170" s="65"/>
      <c r="W170" s="21">
        <f t="shared" si="29"/>
        <v>3453.83</v>
      </c>
      <c r="X170" s="22">
        <f t="shared" si="30"/>
        <v>24111.32</v>
      </c>
      <c r="Y170" s="35">
        <f t="shared" si="31"/>
        <v>0.87470302175028969</v>
      </c>
      <c r="Z170" s="20"/>
      <c r="AA170" s="11"/>
      <c r="AB170" s="20"/>
      <c r="AC170" s="24" t="s">
        <v>73</v>
      </c>
      <c r="AD170" s="11" t="s">
        <v>47</v>
      </c>
      <c r="AE170" s="11">
        <v>43264</v>
      </c>
      <c r="AF170" s="63"/>
      <c r="AG170" s="11">
        <v>43371</v>
      </c>
      <c r="AH170" s="25">
        <f t="shared" si="33"/>
        <v>107</v>
      </c>
      <c r="AK170" s="39"/>
    </row>
    <row r="171" spans="1:37" s="26" customFormat="1" ht="14.25" customHeight="1" x14ac:dyDescent="0.45">
      <c r="A171" s="28" t="s">
        <v>41</v>
      </c>
      <c r="B171" s="8" t="s">
        <v>56</v>
      </c>
      <c r="C171" s="8" t="s">
        <v>57</v>
      </c>
      <c r="D171" s="9"/>
      <c r="E171" s="9"/>
      <c r="F171" s="10"/>
      <c r="G171" s="10">
        <v>43585</v>
      </c>
      <c r="H171" s="51"/>
      <c r="I171" s="52"/>
      <c r="J171" s="51"/>
      <c r="K171" s="51"/>
      <c r="L171" s="9"/>
      <c r="M171" s="10" t="str">
        <f t="shared" si="26"/>
        <v>Apr-19</v>
      </c>
      <c r="N171" s="10" t="str">
        <f t="shared" si="27"/>
        <v>Jan-00</v>
      </c>
      <c r="O171" s="16" t="s">
        <v>485</v>
      </c>
      <c r="P171" s="18" t="s">
        <v>486</v>
      </c>
      <c r="Q171" s="45">
        <v>4221.51</v>
      </c>
      <c r="R171" s="45"/>
      <c r="S171" s="45">
        <f t="shared" si="32"/>
        <v>4221.51</v>
      </c>
      <c r="T171" s="64">
        <f t="shared" si="28"/>
        <v>4643.661000000001</v>
      </c>
      <c r="U171" s="65">
        <v>2685.67</v>
      </c>
      <c r="V171" s="65"/>
      <c r="W171" s="21">
        <f t="shared" si="29"/>
        <v>2685.67</v>
      </c>
      <c r="X171" s="22">
        <f t="shared" si="30"/>
        <v>1535.8400000000001</v>
      </c>
      <c r="Y171" s="35">
        <f t="shared" si="31"/>
        <v>0.36381294844735651</v>
      </c>
      <c r="Z171" s="20"/>
      <c r="AA171" s="11"/>
      <c r="AB171" s="20"/>
      <c r="AC171" s="24" t="s">
        <v>73</v>
      </c>
      <c r="AD171" s="10" t="s">
        <v>47</v>
      </c>
      <c r="AE171" s="10">
        <v>43249</v>
      </c>
      <c r="AF171" s="48"/>
      <c r="AG171" s="10">
        <v>43310</v>
      </c>
      <c r="AH171" s="25">
        <f t="shared" si="33"/>
        <v>61</v>
      </c>
      <c r="AK171" s="27"/>
    </row>
    <row r="172" spans="1:37" s="26" customFormat="1" ht="14.25" customHeight="1" x14ac:dyDescent="0.45">
      <c r="A172" s="8" t="s">
        <v>34</v>
      </c>
      <c r="B172" s="8" t="s">
        <v>297</v>
      </c>
      <c r="C172" s="8" t="s">
        <v>36</v>
      </c>
      <c r="D172" s="9" t="s">
        <v>487</v>
      </c>
      <c r="E172" s="9">
        <v>43321</v>
      </c>
      <c r="F172" s="10">
        <v>43297</v>
      </c>
      <c r="G172" s="11">
        <v>43297</v>
      </c>
      <c r="H172" s="14">
        <v>43297</v>
      </c>
      <c r="I172" s="54">
        <v>43307</v>
      </c>
      <c r="J172" s="14">
        <v>43308</v>
      </c>
      <c r="K172" s="14">
        <v>43321</v>
      </c>
      <c r="L172" s="9"/>
      <c r="M172" s="10" t="str">
        <f t="shared" si="26"/>
        <v>Jul-18</v>
      </c>
      <c r="N172" s="10" t="str">
        <f t="shared" si="27"/>
        <v>Aug-18</v>
      </c>
      <c r="O172" s="96" t="s">
        <v>488</v>
      </c>
      <c r="P172" s="18" t="s">
        <v>489</v>
      </c>
      <c r="Q172" s="45">
        <v>6677.56</v>
      </c>
      <c r="R172" s="45">
        <v>1824.46</v>
      </c>
      <c r="S172" s="45">
        <f t="shared" si="32"/>
        <v>8502.02</v>
      </c>
      <c r="T172" s="64">
        <f t="shared" si="28"/>
        <v>9352.2220000000016</v>
      </c>
      <c r="U172" s="65"/>
      <c r="V172" s="65"/>
      <c r="W172" s="21">
        <f t="shared" si="29"/>
        <v>0</v>
      </c>
      <c r="X172" s="22">
        <f t="shared" si="30"/>
        <v>8502.02</v>
      </c>
      <c r="Y172" s="35">
        <f t="shared" si="31"/>
        <v>1</v>
      </c>
      <c r="Z172" s="20"/>
      <c r="AA172" s="11"/>
      <c r="AB172" s="20"/>
      <c r="AC172" s="24" t="s">
        <v>69</v>
      </c>
      <c r="AD172" s="10">
        <v>43241</v>
      </c>
      <c r="AE172" s="10">
        <v>43249</v>
      </c>
      <c r="AF172" s="63">
        <f>AE172-AD172</f>
        <v>8</v>
      </c>
      <c r="AG172" s="10">
        <v>43280</v>
      </c>
      <c r="AH172" s="25">
        <f t="shared" si="33"/>
        <v>31</v>
      </c>
      <c r="AK172" s="27"/>
    </row>
    <row r="173" spans="1:37" s="26" customFormat="1" ht="14.25" customHeight="1" x14ac:dyDescent="0.45">
      <c r="A173" s="28" t="s">
        <v>41</v>
      </c>
      <c r="B173" s="8" t="s">
        <v>373</v>
      </c>
      <c r="C173" s="28" t="s">
        <v>43</v>
      </c>
      <c r="D173" s="9"/>
      <c r="E173" s="9"/>
      <c r="F173" s="10"/>
      <c r="G173" s="10">
        <v>43554</v>
      </c>
      <c r="H173" s="51"/>
      <c r="I173" s="52"/>
      <c r="J173" s="51"/>
      <c r="K173" s="51"/>
      <c r="L173" s="9"/>
      <c r="M173" s="10" t="str">
        <f t="shared" si="26"/>
        <v>Mar-19</v>
      </c>
      <c r="N173" s="10" t="str">
        <f t="shared" si="27"/>
        <v>Jan-00</v>
      </c>
      <c r="O173" s="16" t="s">
        <v>490</v>
      </c>
      <c r="P173" s="18" t="s">
        <v>491</v>
      </c>
      <c r="Q173" s="45">
        <v>1411.72</v>
      </c>
      <c r="R173" s="45"/>
      <c r="S173" s="45">
        <f t="shared" si="32"/>
        <v>1411.72</v>
      </c>
      <c r="T173" s="64">
        <f t="shared" si="28"/>
        <v>1552.8920000000001</v>
      </c>
      <c r="U173" s="65">
        <v>285</v>
      </c>
      <c r="V173" s="65"/>
      <c r="W173" s="21">
        <f t="shared" si="29"/>
        <v>285</v>
      </c>
      <c r="X173" s="22">
        <f t="shared" si="30"/>
        <v>1126.72</v>
      </c>
      <c r="Y173" s="35">
        <f t="shared" si="31"/>
        <v>0.79811860708922444</v>
      </c>
      <c r="Z173" s="20"/>
      <c r="AA173" s="11"/>
      <c r="AB173" s="20"/>
      <c r="AC173" s="24" t="s">
        <v>73</v>
      </c>
      <c r="AD173" s="10" t="s">
        <v>47</v>
      </c>
      <c r="AE173" s="10">
        <v>43250</v>
      </c>
      <c r="AF173" s="48"/>
      <c r="AG173" s="10">
        <v>43348</v>
      </c>
      <c r="AH173" s="25">
        <f t="shared" si="33"/>
        <v>98</v>
      </c>
      <c r="AK173" s="27"/>
    </row>
    <row r="174" spans="1:37" s="26" customFormat="1" ht="14.25" customHeight="1" x14ac:dyDescent="0.45">
      <c r="A174" s="28" t="s">
        <v>41</v>
      </c>
      <c r="B174" s="8" t="s">
        <v>65</v>
      </c>
      <c r="C174" s="8" t="s">
        <v>57</v>
      </c>
      <c r="D174" s="9" t="s">
        <v>492</v>
      </c>
      <c r="E174" s="9">
        <v>43388</v>
      </c>
      <c r="F174" s="10">
        <v>43360</v>
      </c>
      <c r="G174" s="110">
        <v>43360</v>
      </c>
      <c r="H174" s="14">
        <v>43361</v>
      </c>
      <c r="I174" s="54">
        <v>43370</v>
      </c>
      <c r="J174" s="14">
        <f t="shared" ref="J174:J179" si="34">G174+14</f>
        <v>43374</v>
      </c>
      <c r="K174" s="77">
        <v>43389</v>
      </c>
      <c r="L174" s="9"/>
      <c r="M174" s="10" t="str">
        <f t="shared" si="26"/>
        <v>Sep-18</v>
      </c>
      <c r="N174" s="10" t="str">
        <f t="shared" si="27"/>
        <v>Oct-18</v>
      </c>
      <c r="O174" s="16" t="s">
        <v>493</v>
      </c>
      <c r="P174" s="18" t="s">
        <v>433</v>
      </c>
      <c r="Q174" s="45">
        <v>4042.34</v>
      </c>
      <c r="R174" s="45">
        <v>3454</v>
      </c>
      <c r="S174" s="45">
        <f t="shared" si="32"/>
        <v>7496.34</v>
      </c>
      <c r="T174" s="64">
        <f t="shared" si="28"/>
        <v>8245.9740000000002</v>
      </c>
      <c r="U174" s="65">
        <v>2737.54</v>
      </c>
      <c r="V174" s="65"/>
      <c r="W174" s="21">
        <f t="shared" si="29"/>
        <v>2737.54</v>
      </c>
      <c r="X174" s="22">
        <f t="shared" si="30"/>
        <v>4758.8</v>
      </c>
      <c r="Y174" s="35">
        <f t="shared" si="31"/>
        <v>0.63481645709773038</v>
      </c>
      <c r="Z174" s="20"/>
      <c r="AA174" s="11"/>
      <c r="AB174" s="20"/>
      <c r="AC174" s="24" t="s">
        <v>73</v>
      </c>
      <c r="AD174" s="10" t="s">
        <v>47</v>
      </c>
      <c r="AE174" s="10">
        <v>43250</v>
      </c>
      <c r="AF174" s="48"/>
      <c r="AG174" s="10">
        <v>43335</v>
      </c>
      <c r="AH174" s="25">
        <f t="shared" si="33"/>
        <v>85</v>
      </c>
      <c r="AK174" s="27"/>
    </row>
    <row r="175" spans="1:37" s="26" customFormat="1" ht="14.25" customHeight="1" x14ac:dyDescent="0.45">
      <c r="A175" s="28" t="s">
        <v>41</v>
      </c>
      <c r="B175" s="8" t="s">
        <v>35</v>
      </c>
      <c r="C175" s="8" t="s">
        <v>36</v>
      </c>
      <c r="D175" s="9" t="s">
        <v>494</v>
      </c>
      <c r="E175" s="111">
        <v>43418</v>
      </c>
      <c r="F175" s="10">
        <v>43383</v>
      </c>
      <c r="G175" s="11">
        <v>43383</v>
      </c>
      <c r="H175" s="14">
        <v>43389</v>
      </c>
      <c r="I175" s="54">
        <v>43398</v>
      </c>
      <c r="J175" s="14">
        <f t="shared" si="34"/>
        <v>43397</v>
      </c>
      <c r="K175" s="15">
        <v>43417</v>
      </c>
      <c r="L175" s="9"/>
      <c r="M175" s="10" t="str">
        <f t="shared" si="26"/>
        <v>Oct-18</v>
      </c>
      <c r="N175" s="10" t="str">
        <f t="shared" si="27"/>
        <v>Nov-18</v>
      </c>
      <c r="O175" s="16" t="s">
        <v>495</v>
      </c>
      <c r="P175" s="18" t="s">
        <v>244</v>
      </c>
      <c r="Q175" s="45">
        <v>450.05</v>
      </c>
      <c r="R175" s="45">
        <v>4778.8600000000006</v>
      </c>
      <c r="S175" s="45">
        <f t="shared" si="32"/>
        <v>5228.9100000000008</v>
      </c>
      <c r="T175" s="64">
        <f t="shared" si="28"/>
        <v>5751.8010000000013</v>
      </c>
      <c r="U175" s="20"/>
      <c r="V175" s="65"/>
      <c r="W175" s="21">
        <f t="shared" si="29"/>
        <v>0</v>
      </c>
      <c r="X175" s="22">
        <f t="shared" si="30"/>
        <v>5228.9100000000008</v>
      </c>
      <c r="Y175" s="35">
        <f t="shared" si="31"/>
        <v>1</v>
      </c>
      <c r="Z175" s="20"/>
      <c r="AA175" s="11"/>
      <c r="AB175" s="20"/>
      <c r="AC175" s="24" t="s">
        <v>73</v>
      </c>
      <c r="AD175" s="10" t="s">
        <v>47</v>
      </c>
      <c r="AE175" s="10">
        <v>43304</v>
      </c>
      <c r="AF175" s="63"/>
      <c r="AG175" s="10">
        <v>43435</v>
      </c>
      <c r="AH175" s="25">
        <f t="shared" si="33"/>
        <v>131</v>
      </c>
      <c r="AK175" s="27"/>
    </row>
    <row r="176" spans="1:37" s="26" customFormat="1" ht="14.25" customHeight="1" x14ac:dyDescent="0.45">
      <c r="A176" s="28" t="s">
        <v>41</v>
      </c>
      <c r="B176" s="8" t="s">
        <v>35</v>
      </c>
      <c r="C176" s="8" t="s">
        <v>43</v>
      </c>
      <c r="D176" s="9" t="s">
        <v>496</v>
      </c>
      <c r="E176" s="9">
        <v>43529</v>
      </c>
      <c r="F176" s="10">
        <v>43489</v>
      </c>
      <c r="G176" s="10">
        <v>43489</v>
      </c>
      <c r="H176" s="14">
        <v>43489</v>
      </c>
      <c r="I176" s="54">
        <v>43500</v>
      </c>
      <c r="J176" s="14">
        <f t="shared" si="34"/>
        <v>43503</v>
      </c>
      <c r="K176" s="15">
        <v>43524</v>
      </c>
      <c r="L176" s="9"/>
      <c r="M176" s="10" t="str">
        <f t="shared" si="26"/>
        <v>Jan-19</v>
      </c>
      <c r="N176" s="10" t="str">
        <f t="shared" si="27"/>
        <v>Feb-19</v>
      </c>
      <c r="O176" s="16" t="s">
        <v>497</v>
      </c>
      <c r="P176" s="18" t="s">
        <v>366</v>
      </c>
      <c r="Q176" s="45">
        <v>3453.15</v>
      </c>
      <c r="R176" s="45">
        <v>-1955.2699999999998</v>
      </c>
      <c r="S176" s="45">
        <f t="shared" si="32"/>
        <v>1497.8800000000003</v>
      </c>
      <c r="T176" s="64">
        <f t="shared" si="28"/>
        <v>1647.6680000000006</v>
      </c>
      <c r="U176" s="65"/>
      <c r="V176" s="65"/>
      <c r="W176" s="21">
        <f t="shared" si="29"/>
        <v>0</v>
      </c>
      <c r="X176" s="22">
        <f t="shared" si="30"/>
        <v>1497.8800000000003</v>
      </c>
      <c r="Y176" s="35">
        <f t="shared" si="31"/>
        <v>1</v>
      </c>
      <c r="Z176" s="20"/>
      <c r="AA176" s="11"/>
      <c r="AB176" s="20"/>
      <c r="AC176" s="24" t="s">
        <v>69</v>
      </c>
      <c r="AD176" s="10" t="s">
        <v>47</v>
      </c>
      <c r="AE176" s="10">
        <v>43250</v>
      </c>
      <c r="AF176" s="48"/>
      <c r="AG176" s="10">
        <v>43335</v>
      </c>
      <c r="AH176" s="25">
        <f t="shared" si="33"/>
        <v>85</v>
      </c>
      <c r="AK176" s="27"/>
    </row>
    <row r="177" spans="1:37" s="26" customFormat="1" ht="14.25" customHeight="1" x14ac:dyDescent="0.45">
      <c r="A177" s="28" t="s">
        <v>41</v>
      </c>
      <c r="B177" s="8" t="s">
        <v>65</v>
      </c>
      <c r="C177" s="8" t="s">
        <v>57</v>
      </c>
      <c r="D177" s="9" t="s">
        <v>498</v>
      </c>
      <c r="E177" s="9">
        <v>43334</v>
      </c>
      <c r="F177" s="10">
        <v>43311</v>
      </c>
      <c r="G177" s="11">
        <v>43311</v>
      </c>
      <c r="H177" s="14">
        <v>43315</v>
      </c>
      <c r="I177" s="54">
        <v>43326</v>
      </c>
      <c r="J177" s="14">
        <f t="shared" si="34"/>
        <v>43325</v>
      </c>
      <c r="K177" s="15">
        <v>43334</v>
      </c>
      <c r="L177" s="9"/>
      <c r="M177" s="10" t="str">
        <f t="shared" si="26"/>
        <v>Jul-18</v>
      </c>
      <c r="N177" s="10" t="str">
        <f t="shared" si="27"/>
        <v>Aug-18</v>
      </c>
      <c r="O177" s="16" t="s">
        <v>499</v>
      </c>
      <c r="P177" s="18" t="s">
        <v>433</v>
      </c>
      <c r="Q177" s="45">
        <v>1056.4000000000001</v>
      </c>
      <c r="R177" s="45">
        <v>6998.45</v>
      </c>
      <c r="S177" s="45">
        <f t="shared" si="32"/>
        <v>8054.85</v>
      </c>
      <c r="T177" s="64">
        <f t="shared" si="28"/>
        <v>8860.3350000000009</v>
      </c>
      <c r="U177" s="65"/>
      <c r="V177" s="65"/>
      <c r="W177" s="21">
        <f t="shared" si="29"/>
        <v>0</v>
      </c>
      <c r="X177" s="22">
        <f t="shared" si="30"/>
        <v>8054.85</v>
      </c>
      <c r="Y177" s="35">
        <f t="shared" si="31"/>
        <v>1</v>
      </c>
      <c r="Z177" s="20"/>
      <c r="AA177" s="11"/>
      <c r="AB177" s="20"/>
      <c r="AC177" s="24" t="s">
        <v>73</v>
      </c>
      <c r="AD177" s="10" t="s">
        <v>47</v>
      </c>
      <c r="AE177" s="10">
        <v>43251</v>
      </c>
      <c r="AF177" s="48"/>
      <c r="AG177" s="10">
        <v>43334</v>
      </c>
      <c r="AH177" s="25">
        <f t="shared" si="33"/>
        <v>83</v>
      </c>
      <c r="AK177" s="27"/>
    </row>
    <row r="178" spans="1:37" s="26" customFormat="1" ht="14.25" customHeight="1" x14ac:dyDescent="0.45">
      <c r="A178" s="28" t="s">
        <v>41</v>
      </c>
      <c r="B178" s="8" t="s">
        <v>35</v>
      </c>
      <c r="C178" s="8" t="s">
        <v>36</v>
      </c>
      <c r="D178" s="9" t="s">
        <v>500</v>
      </c>
      <c r="E178" s="9">
        <v>43390</v>
      </c>
      <c r="F178" s="10">
        <v>43371</v>
      </c>
      <c r="G178" s="11">
        <v>43371</v>
      </c>
      <c r="H178" s="67"/>
      <c r="I178" s="68"/>
      <c r="J178" s="14">
        <f t="shared" si="34"/>
        <v>43385</v>
      </c>
      <c r="K178" s="14">
        <v>43391</v>
      </c>
      <c r="L178" s="9"/>
      <c r="M178" s="10" t="str">
        <f t="shared" si="26"/>
        <v>Sep-18</v>
      </c>
      <c r="N178" s="10" t="str">
        <f t="shared" si="27"/>
        <v>Oct-18</v>
      </c>
      <c r="O178" s="16" t="s">
        <v>501</v>
      </c>
      <c r="P178" s="18" t="s">
        <v>436</v>
      </c>
      <c r="Q178" s="45">
        <v>923.71</v>
      </c>
      <c r="R178" s="73"/>
      <c r="S178" s="45">
        <f t="shared" si="32"/>
        <v>923.71</v>
      </c>
      <c r="T178" s="64">
        <f t="shared" si="28"/>
        <v>1016.0810000000001</v>
      </c>
      <c r="U178" s="65"/>
      <c r="V178" s="65">
        <v>267.93</v>
      </c>
      <c r="W178" s="21">
        <f t="shared" si="29"/>
        <v>267.93</v>
      </c>
      <c r="X178" s="22">
        <f t="shared" si="30"/>
        <v>655.78</v>
      </c>
      <c r="Y178" s="35">
        <f t="shared" si="31"/>
        <v>0.70994143183466663</v>
      </c>
      <c r="Z178" s="20"/>
      <c r="AA178" s="11"/>
      <c r="AB178" s="20"/>
      <c r="AC178" s="24" t="s">
        <v>69</v>
      </c>
      <c r="AD178" s="10" t="s">
        <v>47</v>
      </c>
      <c r="AE178" s="10">
        <v>43252</v>
      </c>
      <c r="AF178" s="48"/>
      <c r="AG178" s="10">
        <v>43335</v>
      </c>
      <c r="AH178" s="25">
        <f t="shared" si="33"/>
        <v>83</v>
      </c>
      <c r="AK178" s="27"/>
    </row>
    <row r="179" spans="1:37" s="26" customFormat="1" ht="14.25" customHeight="1" x14ac:dyDescent="0.45">
      <c r="A179" s="28" t="s">
        <v>41</v>
      </c>
      <c r="B179" s="8" t="s">
        <v>65</v>
      </c>
      <c r="C179" s="8" t="s">
        <v>57</v>
      </c>
      <c r="D179" s="9" t="s">
        <v>502</v>
      </c>
      <c r="E179" s="9">
        <v>43333</v>
      </c>
      <c r="F179" s="10">
        <v>43311</v>
      </c>
      <c r="G179" s="11">
        <v>43311</v>
      </c>
      <c r="H179" s="14">
        <v>43313</v>
      </c>
      <c r="I179" s="54">
        <v>43322</v>
      </c>
      <c r="J179" s="14">
        <f t="shared" si="34"/>
        <v>43325</v>
      </c>
      <c r="K179" s="14">
        <v>43334</v>
      </c>
      <c r="L179" s="9"/>
      <c r="M179" s="10" t="str">
        <f t="shared" si="26"/>
        <v>Jul-18</v>
      </c>
      <c r="N179" s="10" t="str">
        <f t="shared" si="27"/>
        <v>Aug-18</v>
      </c>
      <c r="O179" s="16" t="s">
        <v>503</v>
      </c>
      <c r="P179" s="18" t="s">
        <v>504</v>
      </c>
      <c r="Q179" s="45">
        <v>2924.92</v>
      </c>
      <c r="R179" s="45">
        <v>2414.0287444999999</v>
      </c>
      <c r="S179" s="45">
        <f t="shared" si="32"/>
        <v>5338.9487444999995</v>
      </c>
      <c r="T179" s="64">
        <f t="shared" si="28"/>
        <v>5872.8436189499998</v>
      </c>
      <c r="U179" s="65"/>
      <c r="V179" s="65"/>
      <c r="W179" s="21">
        <f t="shared" si="29"/>
        <v>0</v>
      </c>
      <c r="X179" s="22">
        <f t="shared" si="30"/>
        <v>5338.9487444999995</v>
      </c>
      <c r="Y179" s="35">
        <f t="shared" si="31"/>
        <v>1</v>
      </c>
      <c r="Z179" s="20"/>
      <c r="AA179" s="11"/>
      <c r="AB179" s="20"/>
      <c r="AC179" s="24" t="s">
        <v>73</v>
      </c>
      <c r="AD179" s="10" t="s">
        <v>47</v>
      </c>
      <c r="AE179" s="10">
        <v>43252</v>
      </c>
      <c r="AF179" s="48"/>
      <c r="AG179" s="10">
        <v>43336</v>
      </c>
      <c r="AH179" s="25">
        <f t="shared" si="33"/>
        <v>84</v>
      </c>
      <c r="AK179" s="27"/>
    </row>
    <row r="180" spans="1:37" s="26" customFormat="1" ht="14.25" customHeight="1" x14ac:dyDescent="0.45">
      <c r="A180" s="28" t="s">
        <v>41</v>
      </c>
      <c r="B180" s="28" t="s">
        <v>42</v>
      </c>
      <c r="C180" s="28" t="s">
        <v>43</v>
      </c>
      <c r="D180" s="9"/>
      <c r="E180" s="9"/>
      <c r="F180" s="10"/>
      <c r="G180" s="10">
        <v>43615</v>
      </c>
      <c r="H180" s="51"/>
      <c r="I180" s="52"/>
      <c r="J180" s="51"/>
      <c r="K180" s="51"/>
      <c r="L180" s="9"/>
      <c r="M180" s="10" t="str">
        <f t="shared" si="26"/>
        <v>May-19</v>
      </c>
      <c r="N180" s="10" t="str">
        <f t="shared" si="27"/>
        <v>Jan-00</v>
      </c>
      <c r="O180" s="16" t="s">
        <v>505</v>
      </c>
      <c r="P180" s="18" t="s">
        <v>113</v>
      </c>
      <c r="Q180" s="45">
        <v>856.8</v>
      </c>
      <c r="R180" s="45"/>
      <c r="S180" s="45">
        <f t="shared" si="32"/>
        <v>856.8</v>
      </c>
      <c r="T180" s="64">
        <f t="shared" si="28"/>
        <v>942.48</v>
      </c>
      <c r="U180" s="65"/>
      <c r="V180" s="65"/>
      <c r="W180" s="21">
        <f t="shared" si="29"/>
        <v>0</v>
      </c>
      <c r="X180" s="22">
        <f t="shared" si="30"/>
        <v>856.8</v>
      </c>
      <c r="Y180" s="35">
        <f t="shared" si="31"/>
        <v>1</v>
      </c>
      <c r="Z180" s="20"/>
      <c r="AA180" s="11"/>
      <c r="AB180" s="20"/>
      <c r="AC180" s="24" t="s">
        <v>152</v>
      </c>
      <c r="AD180" s="10" t="s">
        <v>47</v>
      </c>
      <c r="AE180" s="10">
        <v>43252</v>
      </c>
      <c r="AF180" s="48"/>
      <c r="AG180" s="10">
        <v>43320</v>
      </c>
      <c r="AH180" s="25">
        <f t="shared" si="33"/>
        <v>68</v>
      </c>
      <c r="AK180" s="27"/>
    </row>
    <row r="181" spans="1:37" s="26" customFormat="1" ht="14.25" customHeight="1" x14ac:dyDescent="0.45">
      <c r="A181" s="8" t="s">
        <v>34</v>
      </c>
      <c r="B181" s="8" t="s">
        <v>129</v>
      </c>
      <c r="C181" s="8" t="s">
        <v>57</v>
      </c>
      <c r="D181" s="9" t="s">
        <v>506</v>
      </c>
      <c r="E181" s="9">
        <v>43305</v>
      </c>
      <c r="F181" s="10">
        <v>43269</v>
      </c>
      <c r="G181" s="11">
        <v>43281</v>
      </c>
      <c r="H181" s="67"/>
      <c r="I181" s="68"/>
      <c r="J181" s="77">
        <v>43283</v>
      </c>
      <c r="K181" s="15">
        <v>43305</v>
      </c>
      <c r="L181" s="9"/>
      <c r="M181" s="10" t="str">
        <f t="shared" si="26"/>
        <v>Jun-18</v>
      </c>
      <c r="N181" s="10" t="str">
        <f t="shared" si="27"/>
        <v>Jul-18</v>
      </c>
      <c r="O181" s="16" t="s">
        <v>507</v>
      </c>
      <c r="P181" s="18" t="s">
        <v>508</v>
      </c>
      <c r="Q181" s="45">
        <v>4293.8739999999998</v>
      </c>
      <c r="R181" s="73"/>
      <c r="S181" s="45">
        <f t="shared" si="32"/>
        <v>4293.8739999999998</v>
      </c>
      <c r="T181" s="64">
        <f t="shared" si="28"/>
        <v>4723.2614000000003</v>
      </c>
      <c r="U181" s="65"/>
      <c r="V181" s="65"/>
      <c r="W181" s="21">
        <f t="shared" si="29"/>
        <v>0</v>
      </c>
      <c r="X181" s="22">
        <f t="shared" si="30"/>
        <v>4293.8739999999998</v>
      </c>
      <c r="Y181" s="35">
        <f t="shared" si="31"/>
        <v>1</v>
      </c>
      <c r="Z181" s="20"/>
      <c r="AA181" s="11"/>
      <c r="AB181" s="20"/>
      <c r="AC181" s="24" t="s">
        <v>128</v>
      </c>
      <c r="AD181" s="86">
        <v>43243</v>
      </c>
      <c r="AE181" s="10">
        <v>43298</v>
      </c>
      <c r="AF181" s="63">
        <f>AE181-AD181</f>
        <v>55</v>
      </c>
      <c r="AG181" s="10">
        <v>43385</v>
      </c>
      <c r="AH181" s="25">
        <f t="shared" si="33"/>
        <v>87</v>
      </c>
      <c r="AK181" s="27"/>
    </row>
    <row r="182" spans="1:37" s="26" customFormat="1" ht="14.25" customHeight="1" x14ac:dyDescent="0.45">
      <c r="A182" s="28" t="s">
        <v>41</v>
      </c>
      <c r="B182" s="8" t="s">
        <v>35</v>
      </c>
      <c r="C182" s="8" t="s">
        <v>36</v>
      </c>
      <c r="D182" s="9" t="s">
        <v>509</v>
      </c>
      <c r="E182" s="9">
        <v>43370</v>
      </c>
      <c r="F182" s="10">
        <v>43315</v>
      </c>
      <c r="G182" s="10">
        <v>43315</v>
      </c>
      <c r="H182" s="112">
        <v>43328</v>
      </c>
      <c r="I182" s="112">
        <v>43361</v>
      </c>
      <c r="J182" s="14">
        <f>G182+14</f>
        <v>43329</v>
      </c>
      <c r="K182" s="14">
        <v>43370</v>
      </c>
      <c r="L182" s="9"/>
      <c r="M182" s="10" t="str">
        <f t="shared" si="26"/>
        <v>Aug-18</v>
      </c>
      <c r="N182" s="10" t="str">
        <f t="shared" si="27"/>
        <v>Sep-18</v>
      </c>
      <c r="O182" s="16" t="s">
        <v>510</v>
      </c>
      <c r="P182" s="18" t="s">
        <v>511</v>
      </c>
      <c r="Q182" s="45">
        <v>1156.75</v>
      </c>
      <c r="R182" s="45">
        <v>6676.88</v>
      </c>
      <c r="S182" s="45">
        <f t="shared" si="32"/>
        <v>7833.63</v>
      </c>
      <c r="T182" s="64">
        <f t="shared" si="28"/>
        <v>8616.9930000000004</v>
      </c>
      <c r="U182" s="65">
        <v>1502.68</v>
      </c>
      <c r="V182" s="34"/>
      <c r="W182" s="21">
        <f t="shared" si="29"/>
        <v>1502.68</v>
      </c>
      <c r="X182" s="22">
        <f t="shared" si="30"/>
        <v>6330.95</v>
      </c>
      <c r="Y182" s="35">
        <f t="shared" si="31"/>
        <v>0.80817577547063113</v>
      </c>
      <c r="Z182" s="20"/>
      <c r="AA182" s="11"/>
      <c r="AB182" s="20"/>
      <c r="AC182" s="61" t="s">
        <v>73</v>
      </c>
      <c r="AD182" s="10" t="s">
        <v>47</v>
      </c>
      <c r="AE182" s="10">
        <v>43256</v>
      </c>
      <c r="AF182" s="48"/>
      <c r="AG182" s="10">
        <v>43279</v>
      </c>
      <c r="AH182" s="25">
        <f t="shared" si="33"/>
        <v>23</v>
      </c>
      <c r="AK182" s="27"/>
    </row>
    <row r="183" spans="1:37" s="26" customFormat="1" ht="14.25" customHeight="1" x14ac:dyDescent="0.45">
      <c r="A183" s="28" t="s">
        <v>41</v>
      </c>
      <c r="B183" s="8" t="s">
        <v>512</v>
      </c>
      <c r="C183" s="28" t="s">
        <v>43</v>
      </c>
      <c r="D183" s="9"/>
      <c r="E183" s="9"/>
      <c r="F183" s="10"/>
      <c r="G183" s="10">
        <v>43524</v>
      </c>
      <c r="H183" s="51"/>
      <c r="I183" s="52"/>
      <c r="J183" s="51"/>
      <c r="K183" s="51"/>
      <c r="L183" s="9"/>
      <c r="M183" s="10" t="str">
        <f t="shared" si="26"/>
        <v>Feb-19</v>
      </c>
      <c r="N183" s="10" t="str">
        <f t="shared" si="27"/>
        <v>Jan-00</v>
      </c>
      <c r="O183" s="16" t="s">
        <v>513</v>
      </c>
      <c r="P183" s="18" t="s">
        <v>514</v>
      </c>
      <c r="Q183" s="45">
        <v>926.02</v>
      </c>
      <c r="R183" s="45"/>
      <c r="S183" s="45">
        <f t="shared" si="32"/>
        <v>926.02</v>
      </c>
      <c r="T183" s="64">
        <f t="shared" si="28"/>
        <v>1018.6220000000001</v>
      </c>
      <c r="U183" s="65">
        <v>980.9</v>
      </c>
      <c r="V183" s="65"/>
      <c r="W183" s="78">
        <f t="shared" si="29"/>
        <v>980.9</v>
      </c>
      <c r="X183" s="79">
        <f t="shared" si="30"/>
        <v>-54.879999999999995</v>
      </c>
      <c r="Y183" s="80">
        <f t="shared" si="31"/>
        <v>-5.9264378739120105E-2</v>
      </c>
      <c r="Z183" s="20"/>
      <c r="AA183" s="11"/>
      <c r="AB183" s="20"/>
      <c r="AC183" s="24" t="s">
        <v>73</v>
      </c>
      <c r="AD183" s="10" t="s">
        <v>47</v>
      </c>
      <c r="AE183" s="10">
        <v>43256</v>
      </c>
      <c r="AF183" s="48"/>
      <c r="AG183" s="10">
        <v>43341</v>
      </c>
      <c r="AH183" s="25">
        <f t="shared" si="33"/>
        <v>85</v>
      </c>
      <c r="AK183" s="27"/>
    </row>
    <row r="184" spans="1:37" s="26" customFormat="1" ht="14.25" customHeight="1" x14ac:dyDescent="0.45">
      <c r="A184" s="8" t="s">
        <v>34</v>
      </c>
      <c r="B184" s="8" t="s">
        <v>357</v>
      </c>
      <c r="C184" s="8" t="s">
        <v>57</v>
      </c>
      <c r="D184" s="9" t="s">
        <v>515</v>
      </c>
      <c r="E184" s="9">
        <v>43321</v>
      </c>
      <c r="F184" s="10">
        <v>43284</v>
      </c>
      <c r="G184" s="11">
        <v>43304</v>
      </c>
      <c r="H184" s="67"/>
      <c r="I184" s="68"/>
      <c r="J184" s="14">
        <f>G184+14</f>
        <v>43318</v>
      </c>
      <c r="K184" s="14">
        <v>43321</v>
      </c>
      <c r="L184" s="9"/>
      <c r="M184" s="10" t="str">
        <f t="shared" si="26"/>
        <v>Jul-18</v>
      </c>
      <c r="N184" s="10" t="str">
        <f t="shared" si="27"/>
        <v>Aug-18</v>
      </c>
      <c r="O184" s="16" t="s">
        <v>516</v>
      </c>
      <c r="P184" s="18" t="s">
        <v>517</v>
      </c>
      <c r="Q184" s="45">
        <v>20864.64</v>
      </c>
      <c r="R184" s="73"/>
      <c r="S184" s="45">
        <f t="shared" si="32"/>
        <v>20864.64</v>
      </c>
      <c r="T184" s="64">
        <f t="shared" si="28"/>
        <v>22951.104000000003</v>
      </c>
      <c r="U184" s="65">
        <v>5714.37</v>
      </c>
      <c r="V184" s="65"/>
      <c r="W184" s="21">
        <f t="shared" si="29"/>
        <v>5714.37</v>
      </c>
      <c r="X184" s="22">
        <f t="shared" si="30"/>
        <v>15150.27</v>
      </c>
      <c r="Y184" s="35">
        <f t="shared" si="31"/>
        <v>0.72612180224532996</v>
      </c>
      <c r="Z184" s="20"/>
      <c r="AA184" s="11"/>
      <c r="AB184" s="20"/>
      <c r="AC184" s="24" t="s">
        <v>128</v>
      </c>
      <c r="AD184" s="86">
        <v>43283</v>
      </c>
      <c r="AE184" s="10">
        <v>43304</v>
      </c>
      <c r="AF184" s="48">
        <v>55</v>
      </c>
      <c r="AG184" s="10">
        <v>43311</v>
      </c>
      <c r="AH184" s="25">
        <f t="shared" si="33"/>
        <v>7</v>
      </c>
      <c r="AK184" s="27"/>
    </row>
    <row r="185" spans="1:37" s="26" customFormat="1" ht="14.25" customHeight="1" x14ac:dyDescent="0.45">
      <c r="A185" s="28" t="s">
        <v>41</v>
      </c>
      <c r="B185" s="8" t="s">
        <v>35</v>
      </c>
      <c r="C185" s="8" t="s">
        <v>36</v>
      </c>
      <c r="D185" s="9" t="s">
        <v>518</v>
      </c>
      <c r="E185" s="9">
        <v>43321</v>
      </c>
      <c r="F185" s="10">
        <v>43286</v>
      </c>
      <c r="G185" s="11">
        <v>43286</v>
      </c>
      <c r="H185" s="14">
        <v>43304</v>
      </c>
      <c r="I185" s="54">
        <v>43312</v>
      </c>
      <c r="J185" s="14">
        <f>G185+14</f>
        <v>43300</v>
      </c>
      <c r="K185" s="15">
        <v>43321</v>
      </c>
      <c r="L185" s="9"/>
      <c r="M185" s="10" t="str">
        <f t="shared" si="26"/>
        <v>Jul-18</v>
      </c>
      <c r="N185" s="10" t="str">
        <f t="shared" si="27"/>
        <v>Aug-18</v>
      </c>
      <c r="O185" s="16" t="s">
        <v>519</v>
      </c>
      <c r="P185" s="18" t="s">
        <v>520</v>
      </c>
      <c r="Q185" s="45">
        <v>19385.47</v>
      </c>
      <c r="R185" s="45">
        <v>-5701.87</v>
      </c>
      <c r="S185" s="45">
        <f t="shared" si="32"/>
        <v>13683.600000000002</v>
      </c>
      <c r="T185" s="64">
        <f t="shared" si="28"/>
        <v>15051.960000000003</v>
      </c>
      <c r="U185" s="65">
        <v>7183.72</v>
      </c>
      <c r="V185" s="65"/>
      <c r="W185" s="21">
        <f t="shared" si="29"/>
        <v>7183.72</v>
      </c>
      <c r="X185" s="22">
        <f t="shared" si="30"/>
        <v>6499.8800000000019</v>
      </c>
      <c r="Y185" s="35">
        <f t="shared" si="31"/>
        <v>0.47501242363120821</v>
      </c>
      <c r="Z185" s="20"/>
      <c r="AA185" s="11"/>
      <c r="AB185" s="20"/>
      <c r="AC185" s="24" t="s">
        <v>73</v>
      </c>
      <c r="AD185" s="10" t="s">
        <v>47</v>
      </c>
      <c r="AE185" s="10">
        <v>43258</v>
      </c>
      <c r="AF185" s="48"/>
      <c r="AG185" s="10">
        <v>43341</v>
      </c>
      <c r="AH185" s="25">
        <f t="shared" si="33"/>
        <v>83</v>
      </c>
      <c r="AK185" s="27"/>
    </row>
    <row r="186" spans="1:37" s="26" customFormat="1" ht="14.25" customHeight="1" x14ac:dyDescent="0.45">
      <c r="A186" s="28" t="s">
        <v>41</v>
      </c>
      <c r="B186" s="8" t="s">
        <v>35</v>
      </c>
      <c r="C186" s="8" t="s">
        <v>36</v>
      </c>
      <c r="D186" s="9" t="s">
        <v>521</v>
      </c>
      <c r="E186" s="9">
        <v>43354</v>
      </c>
      <c r="F186" s="10">
        <v>43313</v>
      </c>
      <c r="G186" s="11">
        <v>43313</v>
      </c>
      <c r="H186" s="15">
        <v>43315</v>
      </c>
      <c r="I186" s="49">
        <v>43342</v>
      </c>
      <c r="J186" s="14">
        <f>G186+14</f>
        <v>43327</v>
      </c>
      <c r="K186" s="15">
        <v>43354</v>
      </c>
      <c r="L186" s="9"/>
      <c r="M186" s="10" t="str">
        <f t="shared" si="26"/>
        <v>Aug-18</v>
      </c>
      <c r="N186" s="10" t="str">
        <f t="shared" si="27"/>
        <v>Sep-18</v>
      </c>
      <c r="O186" s="16" t="s">
        <v>522</v>
      </c>
      <c r="P186" s="18" t="s">
        <v>39</v>
      </c>
      <c r="Q186" s="45">
        <v>1077.58</v>
      </c>
      <c r="R186" s="45">
        <v>4821.08</v>
      </c>
      <c r="S186" s="45">
        <f t="shared" si="32"/>
        <v>5898.66</v>
      </c>
      <c r="T186" s="64">
        <f t="shared" si="28"/>
        <v>6488.5260000000007</v>
      </c>
      <c r="U186" s="34">
        <v>2546.16</v>
      </c>
      <c r="V186" s="34"/>
      <c r="W186" s="21">
        <f t="shared" si="29"/>
        <v>2546.16</v>
      </c>
      <c r="X186" s="22">
        <f t="shared" si="30"/>
        <v>3352.5</v>
      </c>
      <c r="Y186" s="35">
        <f t="shared" si="31"/>
        <v>0.56834942173307157</v>
      </c>
      <c r="Z186" s="20"/>
      <c r="AA186" s="11"/>
      <c r="AB186" s="20"/>
      <c r="AC186" s="24" t="s">
        <v>73</v>
      </c>
      <c r="AD186" s="10" t="s">
        <v>47</v>
      </c>
      <c r="AE186" s="10">
        <v>43243</v>
      </c>
      <c r="AF186" s="48"/>
      <c r="AG186" s="10">
        <v>43317</v>
      </c>
      <c r="AH186" s="25">
        <f t="shared" si="33"/>
        <v>74</v>
      </c>
      <c r="AK186" s="27"/>
    </row>
    <row r="187" spans="1:37" s="26" customFormat="1" ht="14" customHeight="1" x14ac:dyDescent="0.45">
      <c r="A187" s="28" t="s">
        <v>41</v>
      </c>
      <c r="B187" s="8" t="s">
        <v>35</v>
      </c>
      <c r="C187" s="8" t="s">
        <v>36</v>
      </c>
      <c r="D187" s="9" t="s">
        <v>523</v>
      </c>
      <c r="E187" s="9">
        <v>43313</v>
      </c>
      <c r="F187" s="10">
        <v>43273</v>
      </c>
      <c r="G187" s="10">
        <v>43273</v>
      </c>
      <c r="H187" s="15">
        <v>43276</v>
      </c>
      <c r="I187" s="49">
        <v>43299</v>
      </c>
      <c r="J187" s="15">
        <v>43299</v>
      </c>
      <c r="K187" s="15">
        <v>43312</v>
      </c>
      <c r="L187" s="9"/>
      <c r="M187" s="10" t="str">
        <f t="shared" si="26"/>
        <v>Jun-18</v>
      </c>
      <c r="N187" s="10" t="str">
        <f t="shared" si="27"/>
        <v>Jul-18</v>
      </c>
      <c r="O187" s="16" t="s">
        <v>524</v>
      </c>
      <c r="P187" s="18" t="s">
        <v>440</v>
      </c>
      <c r="Q187" s="45">
        <v>1064.32</v>
      </c>
      <c r="R187" s="45">
        <v>5366.5890000000036</v>
      </c>
      <c r="S187" s="45">
        <f t="shared" si="32"/>
        <v>6430.9090000000033</v>
      </c>
      <c r="T187" s="64">
        <f t="shared" si="28"/>
        <v>7073.9999000000043</v>
      </c>
      <c r="U187" s="65">
        <v>3823.6</v>
      </c>
      <c r="V187" s="65"/>
      <c r="W187" s="21">
        <f t="shared" si="29"/>
        <v>3823.6</v>
      </c>
      <c r="X187" s="22">
        <f t="shared" si="30"/>
        <v>2607.3090000000034</v>
      </c>
      <c r="Y187" s="35">
        <f t="shared" si="31"/>
        <v>0.40543397519697483</v>
      </c>
      <c r="Z187" s="20"/>
      <c r="AA187" s="11"/>
      <c r="AB187" s="20"/>
      <c r="AC187" s="24" t="s">
        <v>73</v>
      </c>
      <c r="AD187" s="10" t="s">
        <v>47</v>
      </c>
      <c r="AE187" s="10">
        <v>43257</v>
      </c>
      <c r="AF187" s="48"/>
      <c r="AG187" s="10">
        <v>43342</v>
      </c>
      <c r="AH187" s="25">
        <f t="shared" si="33"/>
        <v>85</v>
      </c>
      <c r="AK187" s="27"/>
    </row>
    <row r="188" spans="1:37" s="26" customFormat="1" ht="14.25" customHeight="1" x14ac:dyDescent="0.45">
      <c r="A188" s="28" t="s">
        <v>41</v>
      </c>
      <c r="B188" s="8" t="s">
        <v>35</v>
      </c>
      <c r="C188" s="8" t="s">
        <v>36</v>
      </c>
      <c r="D188" s="9" t="s">
        <v>525</v>
      </c>
      <c r="E188" s="9">
        <v>43308</v>
      </c>
      <c r="F188" s="10">
        <v>43269</v>
      </c>
      <c r="G188" s="10">
        <v>43270</v>
      </c>
      <c r="H188" s="14">
        <v>43278</v>
      </c>
      <c r="I188" s="54">
        <v>43299</v>
      </c>
      <c r="J188" s="14">
        <f>G188+14</f>
        <v>43284</v>
      </c>
      <c r="K188" s="14">
        <v>43312</v>
      </c>
      <c r="L188" s="9"/>
      <c r="M188" s="10" t="str">
        <f t="shared" si="26"/>
        <v>Jun-18</v>
      </c>
      <c r="N188" s="10" t="str">
        <f t="shared" si="27"/>
        <v>Jul-18</v>
      </c>
      <c r="O188" s="16" t="s">
        <v>526</v>
      </c>
      <c r="P188" s="18" t="s">
        <v>527</v>
      </c>
      <c r="Q188" s="45">
        <v>8779.84</v>
      </c>
      <c r="R188" s="45">
        <v>16441.630000000008</v>
      </c>
      <c r="S188" s="45">
        <f t="shared" si="32"/>
        <v>25221.470000000008</v>
      </c>
      <c r="T188" s="64">
        <f t="shared" si="28"/>
        <v>27743.617000000013</v>
      </c>
      <c r="U188" s="65">
        <v>17562.260000000002</v>
      </c>
      <c r="V188" s="65"/>
      <c r="W188" s="21">
        <f t="shared" si="29"/>
        <v>17562.260000000002</v>
      </c>
      <c r="X188" s="22">
        <f t="shared" si="30"/>
        <v>7659.2100000000064</v>
      </c>
      <c r="Y188" s="35">
        <f t="shared" si="31"/>
        <v>0.30367817577643191</v>
      </c>
      <c r="Z188" s="20"/>
      <c r="AA188" s="11"/>
      <c r="AB188" s="20"/>
      <c r="AC188" s="24" t="s">
        <v>73</v>
      </c>
      <c r="AD188" s="10" t="s">
        <v>47</v>
      </c>
      <c r="AE188" s="10">
        <v>43259</v>
      </c>
      <c r="AF188" s="48"/>
      <c r="AG188" s="10">
        <v>43342</v>
      </c>
      <c r="AH188" s="25">
        <f t="shared" si="33"/>
        <v>83</v>
      </c>
      <c r="AK188" s="27"/>
    </row>
    <row r="189" spans="1:37" s="26" customFormat="1" ht="14.25" customHeight="1" x14ac:dyDescent="0.45">
      <c r="A189" s="28" t="s">
        <v>41</v>
      </c>
      <c r="B189" s="8" t="s">
        <v>56</v>
      </c>
      <c r="C189" s="8" t="s">
        <v>57</v>
      </c>
      <c r="D189" s="9"/>
      <c r="E189" s="9"/>
      <c r="F189" s="10"/>
      <c r="G189" s="10">
        <v>43554</v>
      </c>
      <c r="H189" s="51"/>
      <c r="I189" s="52"/>
      <c r="J189" s="51"/>
      <c r="K189" s="51"/>
      <c r="L189" s="9"/>
      <c r="M189" s="10" t="str">
        <f t="shared" si="26"/>
        <v>Mar-19</v>
      </c>
      <c r="N189" s="10" t="str">
        <f t="shared" si="27"/>
        <v>Jan-00</v>
      </c>
      <c r="O189" s="16" t="s">
        <v>528</v>
      </c>
      <c r="P189" s="18" t="s">
        <v>370</v>
      </c>
      <c r="Q189" s="45">
        <v>5800.56</v>
      </c>
      <c r="R189" s="45"/>
      <c r="S189" s="45">
        <f t="shared" si="32"/>
        <v>5800.56</v>
      </c>
      <c r="T189" s="64">
        <f t="shared" si="28"/>
        <v>6380.6160000000009</v>
      </c>
      <c r="U189" s="65"/>
      <c r="V189" s="65"/>
      <c r="W189" s="21">
        <f t="shared" si="29"/>
        <v>0</v>
      </c>
      <c r="X189" s="22">
        <f t="shared" si="30"/>
        <v>5800.56</v>
      </c>
      <c r="Y189" s="35">
        <f t="shared" si="31"/>
        <v>1</v>
      </c>
      <c r="Z189" s="20"/>
      <c r="AA189" s="11"/>
      <c r="AB189" s="20"/>
      <c r="AC189" s="24" t="s">
        <v>73</v>
      </c>
      <c r="AD189" s="10" t="s">
        <v>47</v>
      </c>
      <c r="AE189" s="10">
        <v>43258</v>
      </c>
      <c r="AF189" s="48"/>
      <c r="AG189" s="10">
        <v>43343</v>
      </c>
      <c r="AH189" s="25">
        <f t="shared" si="33"/>
        <v>85</v>
      </c>
      <c r="AK189" s="27"/>
    </row>
    <row r="190" spans="1:37" s="26" customFormat="1" ht="14.25" customHeight="1" x14ac:dyDescent="0.45">
      <c r="A190" s="28" t="s">
        <v>41</v>
      </c>
      <c r="B190" s="8" t="s">
        <v>146</v>
      </c>
      <c r="C190" s="8" t="s">
        <v>36</v>
      </c>
      <c r="D190" s="9"/>
      <c r="E190" s="9"/>
      <c r="F190" s="10"/>
      <c r="G190" s="10">
        <v>43646</v>
      </c>
      <c r="H190" s="51"/>
      <c r="I190" s="52"/>
      <c r="J190" s="51"/>
      <c r="K190" s="51"/>
      <c r="L190" s="9"/>
      <c r="M190" s="10" t="str">
        <f t="shared" si="26"/>
        <v>Jun-19</v>
      </c>
      <c r="N190" s="10" t="str">
        <f t="shared" si="27"/>
        <v>Jan-00</v>
      </c>
      <c r="O190" s="16" t="s">
        <v>529</v>
      </c>
      <c r="P190" s="18" t="s">
        <v>530</v>
      </c>
      <c r="Q190" s="45">
        <v>781.39</v>
      </c>
      <c r="R190" s="45"/>
      <c r="S190" s="45">
        <f t="shared" si="32"/>
        <v>781.39</v>
      </c>
      <c r="T190" s="64">
        <f t="shared" si="28"/>
        <v>859.52900000000011</v>
      </c>
      <c r="U190" s="65"/>
      <c r="V190" s="65"/>
      <c r="W190" s="21">
        <f t="shared" si="29"/>
        <v>0</v>
      </c>
      <c r="X190" s="22">
        <f t="shared" si="30"/>
        <v>781.39</v>
      </c>
      <c r="Y190" s="35">
        <f t="shared" si="31"/>
        <v>1</v>
      </c>
      <c r="Z190" s="20"/>
      <c r="AA190" s="11"/>
      <c r="AB190" s="20"/>
      <c r="AC190" s="24" t="s">
        <v>73</v>
      </c>
      <c r="AD190" s="10" t="s">
        <v>47</v>
      </c>
      <c r="AE190" s="10">
        <v>43258</v>
      </c>
      <c r="AF190" s="48"/>
      <c r="AG190" s="10">
        <v>43343</v>
      </c>
      <c r="AH190" s="25">
        <f t="shared" si="33"/>
        <v>85</v>
      </c>
      <c r="AK190" s="27"/>
    </row>
    <row r="191" spans="1:37" s="26" customFormat="1" ht="14.25" customHeight="1" x14ac:dyDescent="0.45">
      <c r="A191" s="28" t="s">
        <v>41</v>
      </c>
      <c r="B191" s="8" t="s">
        <v>357</v>
      </c>
      <c r="C191" s="8" t="s">
        <v>57</v>
      </c>
      <c r="D191" s="9"/>
      <c r="E191" s="9"/>
      <c r="F191" s="10"/>
      <c r="G191" s="10">
        <v>43585</v>
      </c>
      <c r="H191" s="51"/>
      <c r="I191" s="52"/>
      <c r="J191" s="51"/>
      <c r="K191" s="51"/>
      <c r="L191" s="9"/>
      <c r="M191" s="10" t="str">
        <f t="shared" si="26"/>
        <v>Apr-19</v>
      </c>
      <c r="N191" s="10" t="str">
        <f t="shared" si="27"/>
        <v>Jan-00</v>
      </c>
      <c r="O191" s="16" t="s">
        <v>531</v>
      </c>
      <c r="P191" s="18" t="s">
        <v>532</v>
      </c>
      <c r="Q191" s="45">
        <v>6863.96</v>
      </c>
      <c r="R191" s="45"/>
      <c r="S191" s="45">
        <f t="shared" si="32"/>
        <v>6863.96</v>
      </c>
      <c r="T191" s="64">
        <f t="shared" si="28"/>
        <v>7550.3560000000007</v>
      </c>
      <c r="U191" s="65"/>
      <c r="V191" s="65"/>
      <c r="W191" s="21">
        <f t="shared" si="29"/>
        <v>0</v>
      </c>
      <c r="X191" s="22">
        <f t="shared" si="30"/>
        <v>6863.96</v>
      </c>
      <c r="Y191" s="35">
        <f t="shared" si="31"/>
        <v>1</v>
      </c>
      <c r="Z191" s="20"/>
      <c r="AA191" s="11"/>
      <c r="AB191" s="20"/>
      <c r="AC191" s="24" t="s">
        <v>73</v>
      </c>
      <c r="AD191" s="10" t="s">
        <v>47</v>
      </c>
      <c r="AE191" s="10">
        <v>43258</v>
      </c>
      <c r="AF191" s="48"/>
      <c r="AG191" s="10">
        <v>43342</v>
      </c>
      <c r="AH191" s="25">
        <f t="shared" si="33"/>
        <v>84</v>
      </c>
      <c r="AK191" s="27"/>
    </row>
    <row r="192" spans="1:37" s="26" customFormat="1" ht="14.25" customHeight="1" x14ac:dyDescent="0.45">
      <c r="A192" s="28" t="s">
        <v>41</v>
      </c>
      <c r="B192" s="8" t="s">
        <v>373</v>
      </c>
      <c r="C192" s="28" t="s">
        <v>43</v>
      </c>
      <c r="D192" s="9"/>
      <c r="E192" s="9"/>
      <c r="F192" s="10">
        <v>43529</v>
      </c>
      <c r="G192" s="10">
        <v>43529</v>
      </c>
      <c r="H192" s="67"/>
      <c r="I192" s="68"/>
      <c r="J192" s="14">
        <f>G192+14</f>
        <v>43543</v>
      </c>
      <c r="K192" s="51">
        <f>J192+14</f>
        <v>43557</v>
      </c>
      <c r="L192" s="9"/>
      <c r="M192" s="10" t="str">
        <f t="shared" si="26"/>
        <v>Mar-19</v>
      </c>
      <c r="N192" s="10" t="str">
        <f t="shared" si="27"/>
        <v>Apr-19</v>
      </c>
      <c r="O192" s="16" t="s">
        <v>533</v>
      </c>
      <c r="P192" s="18" t="s">
        <v>534</v>
      </c>
      <c r="Q192" s="45">
        <v>1641.98</v>
      </c>
      <c r="R192" s="73"/>
      <c r="S192" s="45">
        <f t="shared" si="32"/>
        <v>1641.98</v>
      </c>
      <c r="T192" s="64">
        <f t="shared" si="28"/>
        <v>1806.1780000000001</v>
      </c>
      <c r="U192" s="65">
        <v>2301.7199999999998</v>
      </c>
      <c r="V192" s="65"/>
      <c r="W192" s="78">
        <f t="shared" si="29"/>
        <v>2301.7199999999998</v>
      </c>
      <c r="X192" s="79">
        <f t="shared" si="30"/>
        <v>-659.73999999999978</v>
      </c>
      <c r="Y192" s="80">
        <f t="shared" si="31"/>
        <v>-0.40179539336654513</v>
      </c>
      <c r="Z192" s="20"/>
      <c r="AA192" s="11"/>
      <c r="AB192" s="20"/>
      <c r="AC192" s="24" t="s">
        <v>73</v>
      </c>
      <c r="AD192" s="10" t="s">
        <v>47</v>
      </c>
      <c r="AE192" s="10">
        <v>43259</v>
      </c>
      <c r="AF192" s="48"/>
      <c r="AG192" s="10">
        <v>43343</v>
      </c>
      <c r="AH192" s="25">
        <f t="shared" si="33"/>
        <v>84</v>
      </c>
      <c r="AK192" s="27"/>
    </row>
    <row r="193" spans="1:37" s="26" customFormat="1" ht="14.25" customHeight="1" x14ac:dyDescent="0.45">
      <c r="A193" s="28" t="s">
        <v>41</v>
      </c>
      <c r="B193" s="8" t="s">
        <v>35</v>
      </c>
      <c r="C193" s="8" t="s">
        <v>36</v>
      </c>
      <c r="D193" s="9" t="s">
        <v>535</v>
      </c>
      <c r="E193" s="9">
        <v>43319</v>
      </c>
      <c r="F193" s="10">
        <v>43287</v>
      </c>
      <c r="G193" s="11">
        <v>43287</v>
      </c>
      <c r="H193" s="15">
        <v>43290</v>
      </c>
      <c r="I193" s="49">
        <v>43311</v>
      </c>
      <c r="J193" s="14">
        <f>G193+14</f>
        <v>43301</v>
      </c>
      <c r="K193" s="15">
        <v>43319</v>
      </c>
      <c r="L193" s="9"/>
      <c r="M193" s="10" t="str">
        <f t="shared" si="26"/>
        <v>Jul-18</v>
      </c>
      <c r="N193" s="10" t="str">
        <f t="shared" si="27"/>
        <v>Aug-18</v>
      </c>
      <c r="O193" s="16" t="s">
        <v>536</v>
      </c>
      <c r="P193" s="18" t="s">
        <v>302</v>
      </c>
      <c r="Q193" s="45">
        <v>4388.9399999999996</v>
      </c>
      <c r="R193" s="45">
        <v>14761.990000000002</v>
      </c>
      <c r="S193" s="45">
        <f t="shared" si="32"/>
        <v>19150.93</v>
      </c>
      <c r="T193" s="64">
        <f t="shared" si="28"/>
        <v>21066.023000000001</v>
      </c>
      <c r="U193" s="65">
        <v>11092.64</v>
      </c>
      <c r="V193" s="65"/>
      <c r="W193" s="21">
        <f t="shared" si="29"/>
        <v>11092.64</v>
      </c>
      <c r="X193" s="22">
        <f t="shared" si="30"/>
        <v>8058.2900000000009</v>
      </c>
      <c r="Y193" s="35">
        <f t="shared" si="31"/>
        <v>0.4207779987708169</v>
      </c>
      <c r="Z193" s="20"/>
      <c r="AA193" s="11"/>
      <c r="AB193" s="20"/>
      <c r="AC193" s="24" t="s">
        <v>73</v>
      </c>
      <c r="AD193" s="10" t="s">
        <v>47</v>
      </c>
      <c r="AE193" s="10">
        <v>43259</v>
      </c>
      <c r="AF193" s="48"/>
      <c r="AG193" s="10">
        <v>43372</v>
      </c>
      <c r="AH193" s="25">
        <f t="shared" si="33"/>
        <v>113</v>
      </c>
      <c r="AK193" s="27"/>
    </row>
    <row r="194" spans="1:37" s="26" customFormat="1" ht="14.25" customHeight="1" x14ac:dyDescent="0.45">
      <c r="A194" s="28" t="s">
        <v>41</v>
      </c>
      <c r="B194" s="8" t="s">
        <v>35</v>
      </c>
      <c r="C194" s="8" t="s">
        <v>36</v>
      </c>
      <c r="D194" s="9" t="s">
        <v>537</v>
      </c>
      <c r="E194" s="9">
        <v>43481</v>
      </c>
      <c r="F194" s="10">
        <v>43412</v>
      </c>
      <c r="G194" s="11">
        <v>43412</v>
      </c>
      <c r="H194" s="15">
        <v>43418</v>
      </c>
      <c r="I194" s="49">
        <v>43452</v>
      </c>
      <c r="J194" s="77">
        <v>43427</v>
      </c>
      <c r="K194" s="15">
        <v>43475</v>
      </c>
      <c r="L194" s="9"/>
      <c r="M194" s="10" t="str">
        <f t="shared" ref="M194:M257" si="35">TEXT(G194,"mmm-yy")</f>
        <v>Nov-18</v>
      </c>
      <c r="N194" s="10" t="str">
        <f t="shared" ref="N194:N257" si="36">TEXT(K194,"mmm-yy")</f>
        <v>Jan-19</v>
      </c>
      <c r="O194" s="17" t="s">
        <v>538</v>
      </c>
      <c r="P194" s="33" t="s">
        <v>111</v>
      </c>
      <c r="Q194" s="45">
        <v>896.52</v>
      </c>
      <c r="R194" s="45">
        <v>12354.3</v>
      </c>
      <c r="S194" s="45">
        <f t="shared" si="32"/>
        <v>13250.82</v>
      </c>
      <c r="T194" s="64">
        <f t="shared" ref="T194:T257" si="37">S194*1.1</f>
        <v>14575.902</v>
      </c>
      <c r="U194" s="65"/>
      <c r="V194" s="65"/>
      <c r="W194" s="21">
        <f t="shared" ref="W194:W251" si="38">SUM(U194:V194)</f>
        <v>0</v>
      </c>
      <c r="X194" s="22">
        <f t="shared" ref="X194:X257" si="39">S194-W194</f>
        <v>13250.82</v>
      </c>
      <c r="Y194" s="35">
        <f t="shared" ref="Y194:Y257" si="40">X194/S194</f>
        <v>1</v>
      </c>
      <c r="Z194" s="20"/>
      <c r="AA194" s="11"/>
      <c r="AB194" s="20"/>
      <c r="AC194" s="24" t="s">
        <v>73</v>
      </c>
      <c r="AD194" s="10" t="s">
        <v>47</v>
      </c>
      <c r="AE194" s="10">
        <v>43382</v>
      </c>
      <c r="AF194" s="48"/>
      <c r="AG194" s="10">
        <v>43434</v>
      </c>
      <c r="AH194" s="25">
        <f t="shared" si="33"/>
        <v>52</v>
      </c>
      <c r="AK194" s="27"/>
    </row>
    <row r="195" spans="1:37" s="26" customFormat="1" ht="14.25" customHeight="1" x14ac:dyDescent="0.45">
      <c r="A195" s="28" t="s">
        <v>41</v>
      </c>
      <c r="B195" s="8" t="s">
        <v>35</v>
      </c>
      <c r="C195" s="8" t="s">
        <v>36</v>
      </c>
      <c r="D195" s="9" t="s">
        <v>539</v>
      </c>
      <c r="E195" s="9">
        <v>43439</v>
      </c>
      <c r="F195" s="10">
        <v>43391</v>
      </c>
      <c r="G195" s="10">
        <v>43391</v>
      </c>
      <c r="H195" s="15">
        <v>43396</v>
      </c>
      <c r="I195" s="49">
        <v>43431</v>
      </c>
      <c r="J195" s="14">
        <f>G195+14</f>
        <v>43405</v>
      </c>
      <c r="K195" s="14">
        <v>43440</v>
      </c>
      <c r="L195" s="9"/>
      <c r="M195" s="10" t="str">
        <f t="shared" si="35"/>
        <v>Oct-18</v>
      </c>
      <c r="N195" s="10" t="str">
        <f t="shared" si="36"/>
        <v>Dec-18</v>
      </c>
      <c r="O195" s="16" t="s">
        <v>540</v>
      </c>
      <c r="P195" s="18" t="s">
        <v>204</v>
      </c>
      <c r="Q195" s="45">
        <v>2570.5300000000002</v>
      </c>
      <c r="R195" s="45">
        <v>10352.24</v>
      </c>
      <c r="S195" s="45">
        <f t="shared" si="32"/>
        <v>12922.77</v>
      </c>
      <c r="T195" s="64">
        <f t="shared" si="37"/>
        <v>14215.047000000002</v>
      </c>
      <c r="U195" s="65">
        <v>3384.13</v>
      </c>
      <c r="V195" s="65">
        <v>380.18274999999994</v>
      </c>
      <c r="W195" s="21">
        <f t="shared" si="38"/>
        <v>3764.3127500000001</v>
      </c>
      <c r="X195" s="22">
        <f t="shared" si="39"/>
        <v>9158.4572499999995</v>
      </c>
      <c r="Y195" s="35">
        <f t="shared" si="40"/>
        <v>0.70870697613592126</v>
      </c>
      <c r="Z195" s="20"/>
      <c r="AA195" s="11"/>
      <c r="AB195" s="20"/>
      <c r="AC195" s="24" t="s">
        <v>73</v>
      </c>
      <c r="AD195" s="10" t="s">
        <v>47</v>
      </c>
      <c r="AE195" s="10">
        <v>43259</v>
      </c>
      <c r="AF195" s="48"/>
      <c r="AG195" s="10">
        <v>43341</v>
      </c>
      <c r="AH195" s="25">
        <f t="shared" si="33"/>
        <v>82</v>
      </c>
      <c r="AK195" s="27"/>
    </row>
    <row r="196" spans="1:37" s="26" customFormat="1" ht="14.25" customHeight="1" x14ac:dyDescent="0.45">
      <c r="A196" s="28" t="s">
        <v>41</v>
      </c>
      <c r="B196" s="8" t="s">
        <v>35</v>
      </c>
      <c r="C196" s="8" t="s">
        <v>36</v>
      </c>
      <c r="D196" s="9" t="s">
        <v>541</v>
      </c>
      <c r="E196" s="9">
        <v>43321</v>
      </c>
      <c r="F196" s="10">
        <v>43266</v>
      </c>
      <c r="G196" s="11">
        <v>43266</v>
      </c>
      <c r="H196" s="14">
        <v>43266</v>
      </c>
      <c r="I196" s="54">
        <v>43271</v>
      </c>
      <c r="J196" s="15">
        <v>43313</v>
      </c>
      <c r="K196" s="14">
        <v>43321</v>
      </c>
      <c r="L196" s="9"/>
      <c r="M196" s="10" t="str">
        <f t="shared" si="35"/>
        <v>Jun-18</v>
      </c>
      <c r="N196" s="10" t="str">
        <f t="shared" si="36"/>
        <v>Aug-18</v>
      </c>
      <c r="O196" s="16" t="s">
        <v>542</v>
      </c>
      <c r="P196" s="18" t="s">
        <v>543</v>
      </c>
      <c r="Q196" s="45">
        <v>2924.92</v>
      </c>
      <c r="R196" s="95">
        <v>-2087.42</v>
      </c>
      <c r="S196" s="45">
        <f t="shared" si="32"/>
        <v>837.5</v>
      </c>
      <c r="T196" s="64">
        <f t="shared" si="37"/>
        <v>921.25000000000011</v>
      </c>
      <c r="U196" s="65"/>
      <c r="V196" s="65"/>
      <c r="W196" s="21">
        <f t="shared" si="38"/>
        <v>0</v>
      </c>
      <c r="X196" s="22">
        <f t="shared" si="39"/>
        <v>837.5</v>
      </c>
      <c r="Y196" s="35">
        <f t="shared" si="40"/>
        <v>1</v>
      </c>
      <c r="Z196" s="20"/>
      <c r="AA196" s="11"/>
      <c r="AB196" s="20"/>
      <c r="AC196" s="24" t="s">
        <v>73</v>
      </c>
      <c r="AD196" s="10" t="s">
        <v>47</v>
      </c>
      <c r="AE196" s="10">
        <v>43259</v>
      </c>
      <c r="AF196" s="48"/>
      <c r="AG196" s="10">
        <v>43347</v>
      </c>
      <c r="AH196" s="25">
        <f t="shared" si="33"/>
        <v>88</v>
      </c>
      <c r="AK196" s="27"/>
    </row>
    <row r="197" spans="1:37" s="26" customFormat="1" ht="14.25" customHeight="1" x14ac:dyDescent="0.45">
      <c r="A197" s="28" t="s">
        <v>41</v>
      </c>
      <c r="B197" s="8" t="s">
        <v>65</v>
      </c>
      <c r="C197" s="8" t="s">
        <v>57</v>
      </c>
      <c r="D197" s="9" t="s">
        <v>544</v>
      </c>
      <c r="E197" s="9">
        <v>43418</v>
      </c>
      <c r="F197" s="10">
        <v>43360</v>
      </c>
      <c r="G197" s="10">
        <v>43360</v>
      </c>
      <c r="H197" s="14">
        <v>43361</v>
      </c>
      <c r="I197" s="54">
        <v>43399</v>
      </c>
      <c r="J197" s="14">
        <f>G197+14</f>
        <v>43374</v>
      </c>
      <c r="K197" s="15">
        <v>43417</v>
      </c>
      <c r="L197" s="9"/>
      <c r="M197" s="10" t="str">
        <f t="shared" si="35"/>
        <v>Sep-18</v>
      </c>
      <c r="N197" s="10" t="str">
        <f t="shared" si="36"/>
        <v>Nov-18</v>
      </c>
      <c r="O197" s="17" t="s">
        <v>545</v>
      </c>
      <c r="P197" s="18" t="s">
        <v>178</v>
      </c>
      <c r="Q197" s="45">
        <v>2583.8000000000002</v>
      </c>
      <c r="R197" s="45">
        <v>5218.46</v>
      </c>
      <c r="S197" s="45">
        <f t="shared" si="32"/>
        <v>7802.26</v>
      </c>
      <c r="T197" s="64">
        <f t="shared" si="37"/>
        <v>8582.4860000000008</v>
      </c>
      <c r="U197" s="65"/>
      <c r="V197" s="65"/>
      <c r="W197" s="21">
        <f t="shared" si="38"/>
        <v>0</v>
      </c>
      <c r="X197" s="22">
        <f t="shared" si="39"/>
        <v>7802.26</v>
      </c>
      <c r="Y197" s="35">
        <f t="shared" si="40"/>
        <v>1</v>
      </c>
      <c r="Z197" s="20"/>
      <c r="AA197" s="11"/>
      <c r="AB197" s="20"/>
      <c r="AC197" s="24" t="s">
        <v>73</v>
      </c>
      <c r="AD197" s="10" t="s">
        <v>47</v>
      </c>
      <c r="AE197" s="10">
        <v>43339</v>
      </c>
      <c r="AF197" s="48"/>
      <c r="AG197" s="10">
        <v>43426</v>
      </c>
      <c r="AH197" s="25">
        <f t="shared" si="33"/>
        <v>87</v>
      </c>
      <c r="AK197" s="27"/>
    </row>
    <row r="198" spans="1:37" s="26" customFormat="1" ht="14.25" customHeight="1" x14ac:dyDescent="0.45">
      <c r="A198" s="8" t="s">
        <v>546</v>
      </c>
      <c r="B198" s="8" t="s">
        <v>35</v>
      </c>
      <c r="C198" s="8" t="s">
        <v>51</v>
      </c>
      <c r="D198" s="9" t="s">
        <v>547</v>
      </c>
      <c r="E198" s="9">
        <v>43265</v>
      </c>
      <c r="F198" s="9">
        <v>43265</v>
      </c>
      <c r="G198" s="11">
        <v>43265</v>
      </c>
      <c r="H198" s="67"/>
      <c r="I198" s="68"/>
      <c r="J198" s="67"/>
      <c r="K198" s="12">
        <v>43265</v>
      </c>
      <c r="L198" s="9"/>
      <c r="M198" s="10" t="str">
        <f t="shared" si="35"/>
        <v>Jun-18</v>
      </c>
      <c r="N198" s="10" t="str">
        <f t="shared" si="36"/>
        <v>Jun-18</v>
      </c>
      <c r="O198" s="113" t="s">
        <v>548</v>
      </c>
      <c r="P198" s="114" t="s">
        <v>98</v>
      </c>
      <c r="Q198" s="115">
        <v>10733.39</v>
      </c>
      <c r="R198" s="73"/>
      <c r="S198" s="45">
        <f t="shared" si="32"/>
        <v>10733.39</v>
      </c>
      <c r="T198" s="64">
        <f t="shared" si="37"/>
        <v>11806.729000000001</v>
      </c>
      <c r="U198" s="65"/>
      <c r="V198" s="65"/>
      <c r="W198" s="21">
        <f t="shared" si="38"/>
        <v>0</v>
      </c>
      <c r="X198" s="22">
        <f t="shared" si="39"/>
        <v>10733.39</v>
      </c>
      <c r="Y198" s="35">
        <f t="shared" si="40"/>
        <v>1</v>
      </c>
      <c r="Z198" s="20"/>
      <c r="AA198" s="11"/>
      <c r="AB198" s="20"/>
      <c r="AC198" s="24" t="s">
        <v>69</v>
      </c>
      <c r="AD198" s="10" t="s">
        <v>47</v>
      </c>
      <c r="AE198" s="10">
        <v>43259</v>
      </c>
      <c r="AF198" s="48"/>
      <c r="AG198" s="10">
        <v>43343</v>
      </c>
      <c r="AH198" s="25">
        <f t="shared" si="33"/>
        <v>84</v>
      </c>
      <c r="AK198" s="27"/>
    </row>
    <row r="199" spans="1:37" s="26" customFormat="1" ht="14.25" customHeight="1" x14ac:dyDescent="0.45">
      <c r="A199" s="8" t="s">
        <v>34</v>
      </c>
      <c r="B199" s="8" t="s">
        <v>100</v>
      </c>
      <c r="C199" s="8" t="s">
        <v>36</v>
      </c>
      <c r="D199" s="9" t="s">
        <v>549</v>
      </c>
      <c r="E199" s="9">
        <v>43528</v>
      </c>
      <c r="F199" s="10">
        <v>43497</v>
      </c>
      <c r="G199" s="10">
        <v>43497</v>
      </c>
      <c r="H199" s="14">
        <v>43497</v>
      </c>
      <c r="I199" s="54">
        <v>43504</v>
      </c>
      <c r="J199" s="14">
        <f>G199+14</f>
        <v>43511</v>
      </c>
      <c r="K199" s="15">
        <v>43529</v>
      </c>
      <c r="L199" s="9"/>
      <c r="M199" s="10" t="str">
        <f t="shared" si="35"/>
        <v>Feb-19</v>
      </c>
      <c r="N199" s="10" t="str">
        <f t="shared" si="36"/>
        <v>Mar-19</v>
      </c>
      <c r="O199" s="16" t="s">
        <v>550</v>
      </c>
      <c r="P199" s="18" t="s">
        <v>551</v>
      </c>
      <c r="Q199" s="45">
        <v>7574.8</v>
      </c>
      <c r="R199" s="45">
        <v>19815.88</v>
      </c>
      <c r="S199" s="45">
        <f t="shared" si="32"/>
        <v>27390.68</v>
      </c>
      <c r="T199" s="64">
        <f t="shared" si="37"/>
        <v>30129.748000000003</v>
      </c>
      <c r="U199" s="65"/>
      <c r="V199" s="65"/>
      <c r="W199" s="21">
        <f t="shared" si="38"/>
        <v>0</v>
      </c>
      <c r="X199" s="22">
        <f t="shared" si="39"/>
        <v>27390.68</v>
      </c>
      <c r="Y199" s="35">
        <f t="shared" si="40"/>
        <v>1</v>
      </c>
      <c r="Z199" s="20"/>
      <c r="AA199" s="11"/>
      <c r="AB199" s="20"/>
      <c r="AC199" s="24" t="s">
        <v>55</v>
      </c>
      <c r="AD199" s="10">
        <v>43242</v>
      </c>
      <c r="AE199" s="10">
        <v>43245</v>
      </c>
      <c r="AF199" s="63">
        <f>AE199-AD199</f>
        <v>3</v>
      </c>
      <c r="AG199" s="10">
        <v>43279</v>
      </c>
      <c r="AH199" s="25">
        <f t="shared" si="33"/>
        <v>34</v>
      </c>
      <c r="AK199" s="27"/>
    </row>
    <row r="200" spans="1:37" s="26" customFormat="1" ht="14.25" customHeight="1" x14ac:dyDescent="0.45">
      <c r="A200" s="8" t="s">
        <v>34</v>
      </c>
      <c r="B200" s="8" t="s">
        <v>100</v>
      </c>
      <c r="C200" s="8" t="s">
        <v>36</v>
      </c>
      <c r="D200" s="9" t="s">
        <v>552</v>
      </c>
      <c r="E200" s="9">
        <v>43319</v>
      </c>
      <c r="F200" s="10">
        <v>43285</v>
      </c>
      <c r="G200" s="11">
        <v>43285</v>
      </c>
      <c r="H200" s="15">
        <v>43292</v>
      </c>
      <c r="I200" s="49">
        <v>43308</v>
      </c>
      <c r="J200" s="14">
        <f>G200+14</f>
        <v>43299</v>
      </c>
      <c r="K200" s="15">
        <v>43319</v>
      </c>
      <c r="L200" s="9"/>
      <c r="M200" s="10" t="str">
        <f t="shared" si="35"/>
        <v>Jul-18</v>
      </c>
      <c r="N200" s="10" t="str">
        <f t="shared" si="36"/>
        <v>Aug-18</v>
      </c>
      <c r="O200" s="16" t="s">
        <v>553</v>
      </c>
      <c r="P200" s="18" t="s">
        <v>554</v>
      </c>
      <c r="Q200" s="45">
        <v>9332.5300000000007</v>
      </c>
      <c r="R200" s="45">
        <v>1389.8600000000001</v>
      </c>
      <c r="S200" s="45">
        <f t="shared" si="32"/>
        <v>10722.390000000001</v>
      </c>
      <c r="T200" s="64">
        <f t="shared" si="37"/>
        <v>11794.629000000003</v>
      </c>
      <c r="U200" s="65"/>
      <c r="V200" s="65"/>
      <c r="W200" s="21">
        <f t="shared" si="38"/>
        <v>0</v>
      </c>
      <c r="X200" s="22">
        <f t="shared" si="39"/>
        <v>10722.390000000001</v>
      </c>
      <c r="Y200" s="35">
        <f t="shared" si="40"/>
        <v>1</v>
      </c>
      <c r="Z200" s="20"/>
      <c r="AA200" s="11"/>
      <c r="AB200" s="20"/>
      <c r="AC200" s="24" t="s">
        <v>73</v>
      </c>
      <c r="AD200" s="10">
        <v>43251</v>
      </c>
      <c r="AE200" s="10">
        <v>43263</v>
      </c>
      <c r="AF200" s="63">
        <f>AE200-AD200</f>
        <v>12</v>
      </c>
      <c r="AG200" s="10">
        <v>43285</v>
      </c>
      <c r="AH200" s="25">
        <f t="shared" si="33"/>
        <v>22</v>
      </c>
      <c r="AK200" s="27"/>
    </row>
    <row r="201" spans="1:37" s="26" customFormat="1" ht="14.25" customHeight="1" x14ac:dyDescent="0.45">
      <c r="A201" s="28" t="s">
        <v>41</v>
      </c>
      <c r="B201" s="8" t="s">
        <v>56</v>
      </c>
      <c r="C201" s="8" t="s">
        <v>57</v>
      </c>
      <c r="D201" s="9"/>
      <c r="E201" s="9"/>
      <c r="F201" s="10"/>
      <c r="G201" s="10">
        <v>43524</v>
      </c>
      <c r="H201" s="51"/>
      <c r="I201" s="52"/>
      <c r="J201" s="51"/>
      <c r="K201" s="51"/>
      <c r="L201" s="9"/>
      <c r="M201" s="10" t="str">
        <f t="shared" si="35"/>
        <v>Feb-19</v>
      </c>
      <c r="N201" s="10" t="str">
        <f t="shared" si="36"/>
        <v>Jan-00</v>
      </c>
      <c r="O201" s="16" t="s">
        <v>555</v>
      </c>
      <c r="P201" s="18" t="s">
        <v>370</v>
      </c>
      <c r="Q201" s="45">
        <v>299.36</v>
      </c>
      <c r="R201" s="45"/>
      <c r="S201" s="45">
        <f t="shared" si="32"/>
        <v>299.36</v>
      </c>
      <c r="T201" s="64">
        <f t="shared" si="37"/>
        <v>329.29600000000005</v>
      </c>
      <c r="U201" s="65"/>
      <c r="V201" s="65"/>
      <c r="W201" s="21">
        <f t="shared" si="38"/>
        <v>0</v>
      </c>
      <c r="X201" s="22">
        <f t="shared" si="39"/>
        <v>299.36</v>
      </c>
      <c r="Y201" s="35">
        <f t="shared" si="40"/>
        <v>1</v>
      </c>
      <c r="Z201" s="20"/>
      <c r="AA201" s="11"/>
      <c r="AB201" s="20"/>
      <c r="AC201" s="24" t="s">
        <v>73</v>
      </c>
      <c r="AD201" s="10" t="s">
        <v>47</v>
      </c>
      <c r="AE201" s="10">
        <v>43263</v>
      </c>
      <c r="AF201" s="48"/>
      <c r="AG201" s="10">
        <v>43343</v>
      </c>
      <c r="AH201" s="25">
        <f t="shared" si="33"/>
        <v>80</v>
      </c>
      <c r="AK201" s="27"/>
    </row>
    <row r="202" spans="1:37" s="26" customFormat="1" ht="14.25" customHeight="1" x14ac:dyDescent="0.45">
      <c r="A202" s="8" t="s">
        <v>34</v>
      </c>
      <c r="B202" s="8" t="s">
        <v>35</v>
      </c>
      <c r="C202" s="8" t="s">
        <v>36</v>
      </c>
      <c r="D202" s="9" t="s">
        <v>556</v>
      </c>
      <c r="E202" s="9">
        <v>43307</v>
      </c>
      <c r="F202" s="10">
        <v>43276</v>
      </c>
      <c r="G202" s="11">
        <v>43276</v>
      </c>
      <c r="H202" s="14">
        <v>43290</v>
      </c>
      <c r="I202" s="54">
        <v>43292</v>
      </c>
      <c r="J202" s="14">
        <f>G202+14</f>
        <v>43290</v>
      </c>
      <c r="K202" s="14">
        <v>43307</v>
      </c>
      <c r="L202" s="9"/>
      <c r="M202" s="10" t="str">
        <f t="shared" si="35"/>
        <v>Jun-18</v>
      </c>
      <c r="N202" s="10" t="str">
        <f t="shared" si="36"/>
        <v>Jul-18</v>
      </c>
      <c r="O202" s="16" t="s">
        <v>557</v>
      </c>
      <c r="P202" s="18" t="s">
        <v>81</v>
      </c>
      <c r="Q202" s="45">
        <v>7140.73</v>
      </c>
      <c r="R202" s="45">
        <v>3918.18</v>
      </c>
      <c r="S202" s="45">
        <f t="shared" ref="S202:S265" si="41">SUM(Q202:R202)</f>
        <v>11058.91</v>
      </c>
      <c r="T202" s="64">
        <f t="shared" si="37"/>
        <v>12164.801000000001</v>
      </c>
      <c r="U202" s="65">
        <v>3510</v>
      </c>
      <c r="V202" s="65"/>
      <c r="W202" s="21">
        <f t="shared" si="38"/>
        <v>3510</v>
      </c>
      <c r="X202" s="22">
        <f t="shared" si="39"/>
        <v>7548.91</v>
      </c>
      <c r="Y202" s="35">
        <f t="shared" si="40"/>
        <v>0.68260886470728133</v>
      </c>
      <c r="Z202" s="20"/>
      <c r="AA202" s="11"/>
      <c r="AB202" s="20"/>
      <c r="AC202" s="24" t="s">
        <v>208</v>
      </c>
      <c r="AD202" s="10">
        <v>43242</v>
      </c>
      <c r="AE202" s="10">
        <v>43263</v>
      </c>
      <c r="AF202" s="63">
        <f>AE202-AD202</f>
        <v>21</v>
      </c>
      <c r="AG202" s="10">
        <v>43277</v>
      </c>
      <c r="AH202" s="25">
        <f t="shared" si="33"/>
        <v>14</v>
      </c>
      <c r="AK202" s="27"/>
    </row>
    <row r="203" spans="1:37" s="26" customFormat="1" ht="14.25" customHeight="1" x14ac:dyDescent="0.45">
      <c r="A203" s="28" t="s">
        <v>41</v>
      </c>
      <c r="B203" s="8" t="s">
        <v>35</v>
      </c>
      <c r="C203" s="8" t="s">
        <v>36</v>
      </c>
      <c r="D203" s="9" t="s">
        <v>558</v>
      </c>
      <c r="E203" s="9">
        <v>43313</v>
      </c>
      <c r="F203" s="10">
        <v>43286</v>
      </c>
      <c r="G203" s="11">
        <v>43287</v>
      </c>
      <c r="H203" s="14">
        <v>43290</v>
      </c>
      <c r="I203" s="54">
        <v>43307</v>
      </c>
      <c r="J203" s="14">
        <f>G203+14</f>
        <v>43301</v>
      </c>
      <c r="K203" s="14">
        <v>43314</v>
      </c>
      <c r="L203" s="9"/>
      <c r="M203" s="10" t="str">
        <f t="shared" si="35"/>
        <v>Jul-18</v>
      </c>
      <c r="N203" s="10" t="str">
        <f t="shared" si="36"/>
        <v>Aug-18</v>
      </c>
      <c r="O203" s="16" t="s">
        <v>559</v>
      </c>
      <c r="P203" s="18" t="s">
        <v>113</v>
      </c>
      <c r="Q203" s="45">
        <v>5802.97</v>
      </c>
      <c r="R203" s="45">
        <v>5801.3047500000039</v>
      </c>
      <c r="S203" s="45">
        <f t="shared" si="41"/>
        <v>11604.274750000004</v>
      </c>
      <c r="T203" s="64">
        <f t="shared" si="37"/>
        <v>12764.702225000006</v>
      </c>
      <c r="U203" s="65">
        <v>5337.83</v>
      </c>
      <c r="V203" s="65"/>
      <c r="W203" s="21">
        <f t="shared" si="38"/>
        <v>5337.83</v>
      </c>
      <c r="X203" s="22">
        <f t="shared" si="39"/>
        <v>6266.4447500000042</v>
      </c>
      <c r="Y203" s="35">
        <f t="shared" si="40"/>
        <v>0.54001175299645521</v>
      </c>
      <c r="Z203" s="20"/>
      <c r="AA203" s="11"/>
      <c r="AB203" s="20"/>
      <c r="AC203" s="24" t="s">
        <v>73</v>
      </c>
      <c r="AD203" s="10" t="s">
        <v>47</v>
      </c>
      <c r="AE203" s="10">
        <v>43263</v>
      </c>
      <c r="AF203" s="48"/>
      <c r="AG203" s="10">
        <v>43371</v>
      </c>
      <c r="AH203" s="25">
        <f t="shared" si="33"/>
        <v>108</v>
      </c>
      <c r="AK203" s="27"/>
    </row>
    <row r="204" spans="1:37" s="26" customFormat="1" ht="14.25" customHeight="1" x14ac:dyDescent="0.45">
      <c r="A204" s="28" t="s">
        <v>41</v>
      </c>
      <c r="B204" s="8" t="s">
        <v>35</v>
      </c>
      <c r="C204" s="8" t="s">
        <v>36</v>
      </c>
      <c r="D204" s="9" t="s">
        <v>560</v>
      </c>
      <c r="E204" s="9">
        <v>43319</v>
      </c>
      <c r="F204" s="10">
        <v>43287</v>
      </c>
      <c r="G204" s="11">
        <v>43287</v>
      </c>
      <c r="H204" s="15">
        <v>43291</v>
      </c>
      <c r="I204" s="49">
        <v>43311</v>
      </c>
      <c r="J204" s="14">
        <f>G204+14</f>
        <v>43301</v>
      </c>
      <c r="K204" s="14">
        <v>43319</v>
      </c>
      <c r="L204" s="9"/>
      <c r="M204" s="10" t="str">
        <f t="shared" si="35"/>
        <v>Jul-18</v>
      </c>
      <c r="N204" s="10" t="str">
        <f t="shared" si="36"/>
        <v>Aug-18</v>
      </c>
      <c r="O204" s="16" t="s">
        <v>561</v>
      </c>
      <c r="P204" s="18" t="s">
        <v>562</v>
      </c>
      <c r="Q204" s="45">
        <v>1791.95</v>
      </c>
      <c r="R204" s="45">
        <v>1609.79</v>
      </c>
      <c r="S204" s="45">
        <f t="shared" si="41"/>
        <v>3401.74</v>
      </c>
      <c r="T204" s="64">
        <f t="shared" si="37"/>
        <v>3741.9140000000002</v>
      </c>
      <c r="U204" s="65">
        <v>3351.0000000000005</v>
      </c>
      <c r="V204" s="65"/>
      <c r="W204" s="78">
        <f t="shared" si="38"/>
        <v>3351.0000000000005</v>
      </c>
      <c r="X204" s="22">
        <f t="shared" si="39"/>
        <v>50.739999999999327</v>
      </c>
      <c r="Y204" s="35">
        <f t="shared" si="40"/>
        <v>1.4915895982643979E-2</v>
      </c>
      <c r="Z204" s="20"/>
      <c r="AA204" s="11"/>
      <c r="AB204" s="20"/>
      <c r="AC204" s="24" t="s">
        <v>73</v>
      </c>
      <c r="AD204" s="10" t="s">
        <v>47</v>
      </c>
      <c r="AE204" s="10">
        <v>43277</v>
      </c>
      <c r="AF204" s="48"/>
      <c r="AG204" s="10">
        <v>43371</v>
      </c>
      <c r="AH204" s="25">
        <f t="shared" si="33"/>
        <v>94</v>
      </c>
      <c r="AK204" s="27"/>
    </row>
    <row r="205" spans="1:37" s="26" customFormat="1" ht="14.25" customHeight="1" x14ac:dyDescent="0.45">
      <c r="A205" s="8" t="s">
        <v>34</v>
      </c>
      <c r="B205" s="8" t="s">
        <v>100</v>
      </c>
      <c r="C205" s="8" t="s">
        <v>57</v>
      </c>
      <c r="D205" s="9" t="s">
        <v>563</v>
      </c>
      <c r="E205" s="9">
        <v>42948</v>
      </c>
      <c r="F205" s="10">
        <v>43292</v>
      </c>
      <c r="G205" s="11">
        <v>43292</v>
      </c>
      <c r="H205" s="14">
        <v>43292</v>
      </c>
      <c r="I205" s="54">
        <v>43294</v>
      </c>
      <c r="J205" s="14">
        <f>G205+14</f>
        <v>43306</v>
      </c>
      <c r="K205" s="14">
        <v>43314</v>
      </c>
      <c r="L205" s="9"/>
      <c r="M205" s="10" t="str">
        <f t="shared" si="35"/>
        <v>Jul-18</v>
      </c>
      <c r="N205" s="10" t="str">
        <f t="shared" si="36"/>
        <v>Aug-18</v>
      </c>
      <c r="O205" s="16" t="s">
        <v>564</v>
      </c>
      <c r="P205" s="18" t="s">
        <v>565</v>
      </c>
      <c r="Q205" s="45">
        <v>7206.99</v>
      </c>
      <c r="R205" s="45">
        <v>2158.71</v>
      </c>
      <c r="S205" s="45">
        <f t="shared" si="41"/>
        <v>9365.7000000000007</v>
      </c>
      <c r="T205" s="64">
        <f t="shared" si="37"/>
        <v>10302.270000000002</v>
      </c>
      <c r="U205" s="65"/>
      <c r="V205" s="65"/>
      <c r="W205" s="21">
        <f t="shared" si="38"/>
        <v>0</v>
      </c>
      <c r="X205" s="22">
        <f t="shared" si="39"/>
        <v>9365.7000000000007</v>
      </c>
      <c r="Y205" s="35">
        <f t="shared" si="40"/>
        <v>1</v>
      </c>
      <c r="Z205" s="20"/>
      <c r="AA205" s="11"/>
      <c r="AB205" s="20"/>
      <c r="AC205" s="24" t="s">
        <v>69</v>
      </c>
      <c r="AD205" s="10">
        <v>43255</v>
      </c>
      <c r="AE205" s="10">
        <v>43263</v>
      </c>
      <c r="AF205" s="48"/>
      <c r="AG205" s="10">
        <v>43280</v>
      </c>
      <c r="AH205" s="25">
        <f t="shared" si="33"/>
        <v>17</v>
      </c>
      <c r="AK205" s="27"/>
    </row>
    <row r="206" spans="1:37" s="26" customFormat="1" ht="14.25" customHeight="1" x14ac:dyDescent="0.45">
      <c r="A206" s="28" t="s">
        <v>367</v>
      </c>
      <c r="B206" s="8" t="s">
        <v>35</v>
      </c>
      <c r="C206" s="8" t="s">
        <v>378</v>
      </c>
      <c r="D206" s="9" t="s">
        <v>566</v>
      </c>
      <c r="E206" s="9">
        <v>43389</v>
      </c>
      <c r="F206" s="10">
        <v>43353</v>
      </c>
      <c r="G206" s="10">
        <v>43353</v>
      </c>
      <c r="H206" s="14">
        <v>43353</v>
      </c>
      <c r="I206" s="54">
        <v>43356</v>
      </c>
      <c r="J206" s="12">
        <f>G206+14</f>
        <v>43367</v>
      </c>
      <c r="K206" s="15">
        <v>43391</v>
      </c>
      <c r="L206" s="9"/>
      <c r="M206" s="10" t="str">
        <f t="shared" si="35"/>
        <v>Sep-18</v>
      </c>
      <c r="N206" s="10" t="str">
        <f t="shared" si="36"/>
        <v>Oct-18</v>
      </c>
      <c r="O206" s="97" t="s">
        <v>567</v>
      </c>
      <c r="P206" s="97" t="s">
        <v>568</v>
      </c>
      <c r="Q206" s="99">
        <f>10617.14-Q207</f>
        <v>7432</v>
      </c>
      <c r="R206" s="45">
        <v>40377.195000000007</v>
      </c>
      <c r="S206" s="45">
        <f t="shared" si="41"/>
        <v>47809.195000000007</v>
      </c>
      <c r="T206" s="64">
        <f t="shared" si="37"/>
        <v>52590.114500000011</v>
      </c>
      <c r="U206" s="65">
        <f>24906.5+759</f>
        <v>25665.5</v>
      </c>
      <c r="V206" s="65"/>
      <c r="W206" s="21">
        <f t="shared" si="38"/>
        <v>25665.5</v>
      </c>
      <c r="X206" s="22">
        <f t="shared" si="39"/>
        <v>22143.695000000007</v>
      </c>
      <c r="Y206" s="35">
        <f t="shared" si="40"/>
        <v>0.46316812069310104</v>
      </c>
      <c r="Z206" s="20"/>
      <c r="AA206" s="11"/>
      <c r="AB206" s="20"/>
      <c r="AC206" s="24" t="s">
        <v>371</v>
      </c>
      <c r="AD206" s="10" t="s">
        <v>47</v>
      </c>
      <c r="AE206" s="70"/>
      <c r="AF206" s="71"/>
      <c r="AG206" s="70"/>
      <c r="AH206" s="72"/>
      <c r="AK206" s="27"/>
    </row>
    <row r="207" spans="1:37" s="26" customFormat="1" ht="14.25" customHeight="1" x14ac:dyDescent="0.45">
      <c r="A207" s="28" t="s">
        <v>367</v>
      </c>
      <c r="B207" s="8" t="s">
        <v>35</v>
      </c>
      <c r="C207" s="8" t="s">
        <v>378</v>
      </c>
      <c r="D207" s="9" t="s">
        <v>569</v>
      </c>
      <c r="E207" s="9">
        <v>43298</v>
      </c>
      <c r="F207" s="9">
        <v>43298</v>
      </c>
      <c r="G207" s="10">
        <v>43295</v>
      </c>
      <c r="H207" s="67"/>
      <c r="I207" s="68"/>
      <c r="J207" s="67"/>
      <c r="K207" s="14">
        <v>43298</v>
      </c>
      <c r="L207" s="9"/>
      <c r="M207" s="10" t="str">
        <f t="shared" si="35"/>
        <v>Jul-18</v>
      </c>
      <c r="N207" s="10" t="str">
        <f t="shared" si="36"/>
        <v>Jul-18</v>
      </c>
      <c r="O207" s="97" t="s">
        <v>570</v>
      </c>
      <c r="P207" s="98" t="s">
        <v>568</v>
      </c>
      <c r="Q207" s="99">
        <v>3185.14</v>
      </c>
      <c r="R207" s="73"/>
      <c r="S207" s="45">
        <f t="shared" si="41"/>
        <v>3185.14</v>
      </c>
      <c r="T207" s="64">
        <f t="shared" si="37"/>
        <v>3503.654</v>
      </c>
      <c r="U207" s="100"/>
      <c r="V207" s="100"/>
      <c r="W207" s="21">
        <f t="shared" si="38"/>
        <v>0</v>
      </c>
      <c r="X207" s="22">
        <f t="shared" si="39"/>
        <v>3185.14</v>
      </c>
      <c r="Y207" s="35">
        <f t="shared" si="40"/>
        <v>1</v>
      </c>
      <c r="Z207" s="20"/>
      <c r="AA207" s="11"/>
      <c r="AB207" s="20"/>
      <c r="AC207" s="24" t="s">
        <v>371</v>
      </c>
      <c r="AD207" s="10" t="s">
        <v>47</v>
      </c>
      <c r="AE207" s="70"/>
      <c r="AF207" s="71"/>
      <c r="AG207" s="70"/>
      <c r="AH207" s="72"/>
      <c r="AK207" s="27"/>
    </row>
    <row r="208" spans="1:37" s="26" customFormat="1" ht="14.25" customHeight="1" x14ac:dyDescent="0.45">
      <c r="A208" s="28" t="s">
        <v>41</v>
      </c>
      <c r="B208" s="8" t="s">
        <v>100</v>
      </c>
      <c r="C208" s="8" t="s">
        <v>57</v>
      </c>
      <c r="D208" s="9" t="s">
        <v>571</v>
      </c>
      <c r="E208" s="9">
        <v>43481</v>
      </c>
      <c r="F208" s="10">
        <v>43420</v>
      </c>
      <c r="G208" s="11">
        <v>43420</v>
      </c>
      <c r="H208" s="15">
        <v>43420</v>
      </c>
      <c r="I208" s="49">
        <v>43452</v>
      </c>
      <c r="J208" s="14">
        <f>G208+14</f>
        <v>43434</v>
      </c>
      <c r="K208" s="15">
        <v>43475</v>
      </c>
      <c r="L208" s="9"/>
      <c r="M208" s="10" t="str">
        <f t="shared" si="35"/>
        <v>Nov-18</v>
      </c>
      <c r="N208" s="10" t="str">
        <f t="shared" si="36"/>
        <v>Jan-19</v>
      </c>
      <c r="O208" s="16" t="s">
        <v>572</v>
      </c>
      <c r="P208" s="18" t="s">
        <v>573</v>
      </c>
      <c r="Q208" s="45">
        <v>2235.65</v>
      </c>
      <c r="R208" s="45">
        <v>6499.2449999999999</v>
      </c>
      <c r="S208" s="45">
        <f t="shared" si="41"/>
        <v>8734.8950000000004</v>
      </c>
      <c r="T208" s="64">
        <f t="shared" si="37"/>
        <v>9608.3845000000019</v>
      </c>
      <c r="U208" s="65">
        <v>3921.9</v>
      </c>
      <c r="V208" s="65"/>
      <c r="W208" s="21">
        <f t="shared" si="38"/>
        <v>3921.9</v>
      </c>
      <c r="X208" s="22">
        <f t="shared" si="39"/>
        <v>4812.9950000000008</v>
      </c>
      <c r="Y208" s="35">
        <f t="shared" si="40"/>
        <v>0.55100776826739195</v>
      </c>
      <c r="Z208" s="20"/>
      <c r="AA208" s="11"/>
      <c r="AB208" s="20"/>
      <c r="AC208" s="24" t="s">
        <v>61</v>
      </c>
      <c r="AD208" s="10" t="s">
        <v>47</v>
      </c>
      <c r="AE208" s="10">
        <v>43306</v>
      </c>
      <c r="AF208" s="63"/>
      <c r="AG208" s="10">
        <v>43393</v>
      </c>
      <c r="AH208" s="25">
        <f>AG208-AE208</f>
        <v>87</v>
      </c>
      <c r="AK208" s="27"/>
    </row>
    <row r="209" spans="1:37" s="26" customFormat="1" ht="14.25" customHeight="1" x14ac:dyDescent="0.45">
      <c r="A209" s="28" t="s">
        <v>367</v>
      </c>
      <c r="B209" s="8" t="s">
        <v>35</v>
      </c>
      <c r="C209" s="8" t="s">
        <v>378</v>
      </c>
      <c r="D209" s="9" t="s">
        <v>574</v>
      </c>
      <c r="E209" s="9">
        <v>43398</v>
      </c>
      <c r="F209" s="9">
        <v>43363</v>
      </c>
      <c r="G209" s="10">
        <v>43363</v>
      </c>
      <c r="H209" s="14">
        <v>43378</v>
      </c>
      <c r="I209" s="54">
        <v>43384</v>
      </c>
      <c r="J209" s="77">
        <f>G209+14</f>
        <v>43377</v>
      </c>
      <c r="K209" s="15">
        <v>43403</v>
      </c>
      <c r="L209" s="9"/>
      <c r="M209" s="10" t="str">
        <f t="shared" si="35"/>
        <v>Sep-18</v>
      </c>
      <c r="N209" s="10" t="str">
        <f t="shared" si="36"/>
        <v>Oct-18</v>
      </c>
      <c r="O209" s="97" t="s">
        <v>575</v>
      </c>
      <c r="P209" s="98" t="s">
        <v>576</v>
      </c>
      <c r="Q209" s="99">
        <f>10021.38-Q210</f>
        <v>7014.9699999999993</v>
      </c>
      <c r="R209" s="45">
        <v>29930.190000000002</v>
      </c>
      <c r="S209" s="45">
        <f t="shared" si="41"/>
        <v>36945.160000000003</v>
      </c>
      <c r="T209" s="64">
        <f t="shared" si="37"/>
        <v>40639.676000000007</v>
      </c>
      <c r="U209" s="65">
        <v>5204</v>
      </c>
      <c r="V209" s="65"/>
      <c r="W209" s="21">
        <f t="shared" si="38"/>
        <v>5204</v>
      </c>
      <c r="X209" s="22">
        <f t="shared" si="39"/>
        <v>31741.160000000003</v>
      </c>
      <c r="Y209" s="35">
        <f t="shared" si="40"/>
        <v>0.85914257780992154</v>
      </c>
      <c r="Z209" s="20"/>
      <c r="AA209" s="11"/>
      <c r="AB209" s="20"/>
      <c r="AC209" s="24" t="s">
        <v>371</v>
      </c>
      <c r="AD209" s="10" t="s">
        <v>47</v>
      </c>
      <c r="AE209" s="70"/>
      <c r="AF209" s="71"/>
      <c r="AG209" s="70"/>
      <c r="AH209" s="72"/>
      <c r="AK209" s="27"/>
    </row>
    <row r="210" spans="1:37" s="26" customFormat="1" ht="14.25" customHeight="1" x14ac:dyDescent="0.45">
      <c r="A210" s="28" t="s">
        <v>367</v>
      </c>
      <c r="B210" s="8" t="s">
        <v>35</v>
      </c>
      <c r="C210" s="8" t="s">
        <v>378</v>
      </c>
      <c r="D210" s="9" t="s">
        <v>577</v>
      </c>
      <c r="E210" s="9">
        <v>43298</v>
      </c>
      <c r="F210" s="9">
        <v>43298</v>
      </c>
      <c r="G210" s="10">
        <v>43295</v>
      </c>
      <c r="H210" s="67"/>
      <c r="I210" s="68"/>
      <c r="J210" s="67"/>
      <c r="K210" s="14">
        <v>43298</v>
      </c>
      <c r="L210" s="9"/>
      <c r="M210" s="10" t="str">
        <f t="shared" si="35"/>
        <v>Jul-18</v>
      </c>
      <c r="N210" s="10" t="str">
        <f t="shared" si="36"/>
        <v>Jul-18</v>
      </c>
      <c r="O210" s="97" t="s">
        <v>578</v>
      </c>
      <c r="P210" s="98" t="s">
        <v>576</v>
      </c>
      <c r="Q210" s="99">
        <v>3006.41</v>
      </c>
      <c r="R210" s="73"/>
      <c r="S210" s="45">
        <f t="shared" si="41"/>
        <v>3006.41</v>
      </c>
      <c r="T210" s="64">
        <f t="shared" si="37"/>
        <v>3307.0509999999999</v>
      </c>
      <c r="U210" s="100"/>
      <c r="V210" s="100"/>
      <c r="W210" s="21">
        <f t="shared" si="38"/>
        <v>0</v>
      </c>
      <c r="X210" s="22">
        <f t="shared" si="39"/>
        <v>3006.41</v>
      </c>
      <c r="Y210" s="35">
        <f t="shared" si="40"/>
        <v>1</v>
      </c>
      <c r="Z210" s="20"/>
      <c r="AA210" s="11"/>
      <c r="AB210" s="20"/>
      <c r="AC210" s="24" t="s">
        <v>371</v>
      </c>
      <c r="AD210" s="10" t="s">
        <v>47</v>
      </c>
      <c r="AE210" s="70"/>
      <c r="AF210" s="71"/>
      <c r="AG210" s="70"/>
      <c r="AH210" s="72"/>
      <c r="AK210" s="27"/>
    </row>
    <row r="211" spans="1:37" s="26" customFormat="1" ht="14.25" customHeight="1" x14ac:dyDescent="0.45">
      <c r="A211" s="28" t="s">
        <v>367</v>
      </c>
      <c r="B211" s="8" t="s">
        <v>35</v>
      </c>
      <c r="C211" s="8" t="s">
        <v>378</v>
      </c>
      <c r="D211" s="9" t="s">
        <v>579</v>
      </c>
      <c r="E211" s="9">
        <v>43453</v>
      </c>
      <c r="F211" s="10">
        <v>43427</v>
      </c>
      <c r="G211" s="11">
        <v>43427</v>
      </c>
      <c r="H211" s="14">
        <v>43431</v>
      </c>
      <c r="I211" s="54">
        <v>43440</v>
      </c>
      <c r="J211" s="14">
        <v>43432</v>
      </c>
      <c r="K211" s="14">
        <v>43454</v>
      </c>
      <c r="L211" s="9"/>
      <c r="M211" s="10" t="str">
        <f t="shared" si="35"/>
        <v>Nov-18</v>
      </c>
      <c r="N211" s="10" t="str">
        <f t="shared" si="36"/>
        <v>Dec-18</v>
      </c>
      <c r="O211" s="97" t="s">
        <v>580</v>
      </c>
      <c r="P211" s="97" t="s">
        <v>581</v>
      </c>
      <c r="Q211" s="99">
        <f>12776.77-Q212</f>
        <v>8943.7390000000014</v>
      </c>
      <c r="R211" s="45">
        <v>58402.84</v>
      </c>
      <c r="S211" s="45">
        <f t="shared" si="41"/>
        <v>67346.578999999998</v>
      </c>
      <c r="T211" s="64">
        <f t="shared" si="37"/>
        <v>74081.236900000004</v>
      </c>
      <c r="U211" s="65">
        <v>43445</v>
      </c>
      <c r="V211" s="65"/>
      <c r="W211" s="21">
        <f t="shared" si="38"/>
        <v>43445</v>
      </c>
      <c r="X211" s="22">
        <f t="shared" si="39"/>
        <v>23901.578999999998</v>
      </c>
      <c r="Y211" s="35">
        <f t="shared" si="40"/>
        <v>0.35490412957724249</v>
      </c>
      <c r="Z211" s="20"/>
      <c r="AA211" s="11"/>
      <c r="AB211" s="20"/>
      <c r="AC211" s="24" t="s">
        <v>371</v>
      </c>
      <c r="AD211" s="10" t="s">
        <v>47</v>
      </c>
      <c r="AE211" s="70"/>
      <c r="AF211" s="71"/>
      <c r="AG211" s="70"/>
      <c r="AH211" s="72"/>
      <c r="AK211" s="27"/>
    </row>
    <row r="212" spans="1:37" s="26" customFormat="1" ht="14.25" customHeight="1" x14ac:dyDescent="0.45">
      <c r="A212" s="28" t="s">
        <v>367</v>
      </c>
      <c r="B212" s="8" t="s">
        <v>35</v>
      </c>
      <c r="C212" s="8" t="s">
        <v>378</v>
      </c>
      <c r="D212" s="9" t="s">
        <v>582</v>
      </c>
      <c r="E212" s="9">
        <v>43299</v>
      </c>
      <c r="F212" s="9">
        <v>43299</v>
      </c>
      <c r="G212" s="10">
        <v>43295</v>
      </c>
      <c r="H212" s="67"/>
      <c r="I212" s="68"/>
      <c r="J212" s="67"/>
      <c r="K212" s="14">
        <v>43298</v>
      </c>
      <c r="L212" s="9"/>
      <c r="M212" s="10" t="str">
        <f t="shared" si="35"/>
        <v>Jul-18</v>
      </c>
      <c r="N212" s="10" t="str">
        <f t="shared" si="36"/>
        <v>Jul-18</v>
      </c>
      <c r="O212" s="97" t="s">
        <v>580</v>
      </c>
      <c r="P212" s="98" t="s">
        <v>581</v>
      </c>
      <c r="Q212" s="99">
        <v>3833.0309999999999</v>
      </c>
      <c r="R212" s="73"/>
      <c r="S212" s="45">
        <f t="shared" si="41"/>
        <v>3833.0309999999999</v>
      </c>
      <c r="T212" s="64">
        <f t="shared" si="37"/>
        <v>4216.3341</v>
      </c>
      <c r="U212" s="100"/>
      <c r="V212" s="100"/>
      <c r="W212" s="21">
        <f t="shared" si="38"/>
        <v>0</v>
      </c>
      <c r="X212" s="22">
        <f t="shared" si="39"/>
        <v>3833.0309999999999</v>
      </c>
      <c r="Y212" s="35">
        <f t="shared" si="40"/>
        <v>1</v>
      </c>
      <c r="Z212" s="20"/>
      <c r="AA212" s="11"/>
      <c r="AB212" s="20"/>
      <c r="AC212" s="24" t="s">
        <v>371</v>
      </c>
      <c r="AD212" s="10" t="s">
        <v>47</v>
      </c>
      <c r="AE212" s="70"/>
      <c r="AF212" s="71"/>
      <c r="AG212" s="70"/>
      <c r="AH212" s="72"/>
      <c r="AK212" s="27"/>
    </row>
    <row r="213" spans="1:37" s="26" customFormat="1" ht="14.25" customHeight="1" x14ac:dyDescent="0.45">
      <c r="A213" s="28" t="s">
        <v>367</v>
      </c>
      <c r="B213" s="8" t="s">
        <v>35</v>
      </c>
      <c r="C213" s="8" t="s">
        <v>378</v>
      </c>
      <c r="D213" s="9" t="s">
        <v>583</v>
      </c>
      <c r="E213" s="9">
        <v>43399</v>
      </c>
      <c r="F213" s="9">
        <v>43363</v>
      </c>
      <c r="G213" s="9">
        <v>43363</v>
      </c>
      <c r="H213" s="14">
        <v>43378</v>
      </c>
      <c r="I213" s="54">
        <v>43384</v>
      </c>
      <c r="J213" s="77">
        <f>G213+14</f>
        <v>43377</v>
      </c>
      <c r="K213" s="15">
        <v>43403</v>
      </c>
      <c r="L213" s="9"/>
      <c r="M213" s="10" t="str">
        <f t="shared" si="35"/>
        <v>Sep-18</v>
      </c>
      <c r="N213" s="10" t="str">
        <f t="shared" si="36"/>
        <v>Oct-18</v>
      </c>
      <c r="O213" s="97" t="s">
        <v>584</v>
      </c>
      <c r="P213" s="98" t="s">
        <v>585</v>
      </c>
      <c r="Q213" s="99">
        <v>2042.58</v>
      </c>
      <c r="R213" s="45">
        <v>20329.53</v>
      </c>
      <c r="S213" s="45">
        <f t="shared" si="41"/>
        <v>22372.11</v>
      </c>
      <c r="T213" s="64">
        <f t="shared" si="37"/>
        <v>24609.321000000004</v>
      </c>
      <c r="U213" s="65">
        <v>9152.5</v>
      </c>
      <c r="V213" s="65"/>
      <c r="W213" s="21">
        <f t="shared" si="38"/>
        <v>9152.5</v>
      </c>
      <c r="X213" s="22">
        <f t="shared" si="39"/>
        <v>13219.61</v>
      </c>
      <c r="Y213" s="35">
        <f t="shared" si="40"/>
        <v>0.59089688008864605</v>
      </c>
      <c r="Z213" s="20"/>
      <c r="AA213" s="11"/>
      <c r="AB213" s="20"/>
      <c r="AC213" s="24" t="s">
        <v>371</v>
      </c>
      <c r="AD213" s="10" t="s">
        <v>47</v>
      </c>
      <c r="AE213" s="70"/>
      <c r="AF213" s="71"/>
      <c r="AG213" s="70"/>
      <c r="AH213" s="72"/>
      <c r="AK213" s="27"/>
    </row>
    <row r="214" spans="1:37" s="26" customFormat="1" ht="14.25" customHeight="1" x14ac:dyDescent="0.45">
      <c r="A214" s="28" t="s">
        <v>367</v>
      </c>
      <c r="B214" s="8" t="s">
        <v>35</v>
      </c>
      <c r="C214" s="8" t="s">
        <v>378</v>
      </c>
      <c r="D214" s="9" t="s">
        <v>586</v>
      </c>
      <c r="E214" s="9">
        <v>43497</v>
      </c>
      <c r="F214" s="10">
        <v>43454</v>
      </c>
      <c r="G214" s="10">
        <v>43454</v>
      </c>
      <c r="H214" s="14">
        <v>43479</v>
      </c>
      <c r="I214" s="54">
        <v>43482</v>
      </c>
      <c r="J214" s="15">
        <v>43476</v>
      </c>
      <c r="K214" s="15">
        <v>43501</v>
      </c>
      <c r="L214" s="9"/>
      <c r="M214" s="10" t="str">
        <f t="shared" si="35"/>
        <v>Dec-18</v>
      </c>
      <c r="N214" s="10" t="str">
        <f t="shared" si="36"/>
        <v>Feb-19</v>
      </c>
      <c r="O214" s="97" t="s">
        <v>587</v>
      </c>
      <c r="P214" s="98" t="s">
        <v>588</v>
      </c>
      <c r="Q214" s="99">
        <f>18734.37-Q215</f>
        <v>13114.059999999998</v>
      </c>
      <c r="R214" s="45">
        <v>40775.74</v>
      </c>
      <c r="S214" s="45">
        <f t="shared" si="41"/>
        <v>53889.799999999996</v>
      </c>
      <c r="T214" s="64">
        <f t="shared" si="37"/>
        <v>59278.78</v>
      </c>
      <c r="U214" s="65">
        <v>27605</v>
      </c>
      <c r="V214" s="65"/>
      <c r="W214" s="21">
        <f t="shared" si="38"/>
        <v>27605</v>
      </c>
      <c r="X214" s="22">
        <f t="shared" si="39"/>
        <v>26284.799999999996</v>
      </c>
      <c r="Y214" s="35">
        <f t="shared" si="40"/>
        <v>0.48775092874718401</v>
      </c>
      <c r="Z214" s="20"/>
      <c r="AA214" s="11"/>
      <c r="AB214" s="20"/>
      <c r="AC214" s="24" t="s">
        <v>371</v>
      </c>
      <c r="AD214" s="10" t="s">
        <v>47</v>
      </c>
      <c r="AE214" s="70"/>
      <c r="AF214" s="71"/>
      <c r="AG214" s="70"/>
      <c r="AH214" s="72"/>
      <c r="AK214" s="27"/>
    </row>
    <row r="215" spans="1:37" s="26" customFormat="1" ht="14" customHeight="1" x14ac:dyDescent="0.45">
      <c r="A215" s="28" t="s">
        <v>367</v>
      </c>
      <c r="B215" s="8" t="s">
        <v>35</v>
      </c>
      <c r="C215" s="8" t="s">
        <v>378</v>
      </c>
      <c r="D215" s="9" t="s">
        <v>589</v>
      </c>
      <c r="E215" s="9">
        <v>43299</v>
      </c>
      <c r="F215" s="9">
        <v>43299</v>
      </c>
      <c r="G215" s="10">
        <v>43295</v>
      </c>
      <c r="H215" s="67"/>
      <c r="I215" s="68"/>
      <c r="J215" s="67"/>
      <c r="K215" s="14">
        <v>43298</v>
      </c>
      <c r="L215" s="9"/>
      <c r="M215" s="10" t="str">
        <f t="shared" si="35"/>
        <v>Jul-18</v>
      </c>
      <c r="N215" s="10" t="str">
        <f t="shared" si="36"/>
        <v>Jul-18</v>
      </c>
      <c r="O215" s="97" t="s">
        <v>587</v>
      </c>
      <c r="P215" s="98" t="s">
        <v>588</v>
      </c>
      <c r="Q215" s="99">
        <v>5620.31</v>
      </c>
      <c r="R215" s="73"/>
      <c r="S215" s="45">
        <f t="shared" si="41"/>
        <v>5620.31</v>
      </c>
      <c r="T215" s="64">
        <f t="shared" si="37"/>
        <v>6182.3410000000013</v>
      </c>
      <c r="U215" s="100"/>
      <c r="V215" s="100"/>
      <c r="W215" s="21">
        <f t="shared" si="38"/>
        <v>0</v>
      </c>
      <c r="X215" s="22">
        <f t="shared" si="39"/>
        <v>5620.31</v>
      </c>
      <c r="Y215" s="35">
        <f t="shared" si="40"/>
        <v>1</v>
      </c>
      <c r="Z215" s="20"/>
      <c r="AA215" s="11"/>
      <c r="AB215" s="20"/>
      <c r="AC215" s="24" t="s">
        <v>371</v>
      </c>
      <c r="AD215" s="10" t="s">
        <v>47</v>
      </c>
      <c r="AE215" s="70"/>
      <c r="AF215" s="71"/>
      <c r="AG215" s="70"/>
      <c r="AH215" s="72"/>
      <c r="AK215" s="27"/>
    </row>
    <row r="216" spans="1:37" s="26" customFormat="1" ht="14.25" customHeight="1" x14ac:dyDescent="0.45">
      <c r="A216" s="28" t="s">
        <v>41</v>
      </c>
      <c r="B216" s="8" t="s">
        <v>35</v>
      </c>
      <c r="C216" s="8" t="s">
        <v>36</v>
      </c>
      <c r="D216" s="9" t="s">
        <v>590</v>
      </c>
      <c r="E216" s="9">
        <v>43284</v>
      </c>
      <c r="F216" s="10">
        <v>43280</v>
      </c>
      <c r="G216" s="11">
        <v>43280</v>
      </c>
      <c r="H216" s="67"/>
      <c r="I216" s="68"/>
      <c r="J216" s="14">
        <f>G216+14</f>
        <v>43294</v>
      </c>
      <c r="K216" s="14">
        <v>43298</v>
      </c>
      <c r="L216" s="9"/>
      <c r="M216" s="10" t="str">
        <f t="shared" si="35"/>
        <v>Jun-18</v>
      </c>
      <c r="N216" s="10" t="str">
        <f t="shared" si="36"/>
        <v>Jul-18</v>
      </c>
      <c r="O216" s="16" t="s">
        <v>591</v>
      </c>
      <c r="P216" s="18" t="s">
        <v>328</v>
      </c>
      <c r="Q216" s="45">
        <v>4296.8100000000004</v>
      </c>
      <c r="R216" s="73"/>
      <c r="S216" s="45">
        <f t="shared" si="41"/>
        <v>4296.8100000000004</v>
      </c>
      <c r="T216" s="64">
        <f t="shared" si="37"/>
        <v>4726.4910000000009</v>
      </c>
      <c r="U216" s="65">
        <v>2484.25</v>
      </c>
      <c r="V216" s="65"/>
      <c r="W216" s="21">
        <f t="shared" si="38"/>
        <v>2484.25</v>
      </c>
      <c r="X216" s="22">
        <f t="shared" si="39"/>
        <v>1812.5600000000004</v>
      </c>
      <c r="Y216" s="35">
        <f t="shared" si="40"/>
        <v>0.4218385267209861</v>
      </c>
      <c r="Z216" s="20"/>
      <c r="AA216" s="11"/>
      <c r="AB216" s="20"/>
      <c r="AC216" s="24" t="s">
        <v>73</v>
      </c>
      <c r="AD216" s="10" t="s">
        <v>47</v>
      </c>
      <c r="AE216" s="10">
        <v>43264</v>
      </c>
      <c r="AF216" s="48"/>
      <c r="AG216" s="10">
        <v>43371</v>
      </c>
      <c r="AH216" s="25">
        <f t="shared" ref="AH216:AH231" si="42">AG216-AE216</f>
        <v>107</v>
      </c>
      <c r="AK216" s="27"/>
    </row>
    <row r="217" spans="1:37" s="26" customFormat="1" ht="14.25" customHeight="1" x14ac:dyDescent="0.45">
      <c r="A217" s="28" t="s">
        <v>41</v>
      </c>
      <c r="B217" s="8" t="s">
        <v>146</v>
      </c>
      <c r="C217" s="8" t="s">
        <v>36</v>
      </c>
      <c r="D217" s="9"/>
      <c r="E217" s="9"/>
      <c r="F217" s="10">
        <v>43518</v>
      </c>
      <c r="G217" s="10">
        <v>43518</v>
      </c>
      <c r="H217" s="10">
        <v>43518</v>
      </c>
      <c r="I217" s="52"/>
      <c r="J217" s="14">
        <f>G217+14</f>
        <v>43532</v>
      </c>
      <c r="K217" s="51">
        <f>J217+14</f>
        <v>43546</v>
      </c>
      <c r="L217" s="9"/>
      <c r="M217" s="10" t="str">
        <f t="shared" si="35"/>
        <v>Feb-19</v>
      </c>
      <c r="N217" s="10" t="str">
        <f t="shared" si="36"/>
        <v>Mar-19</v>
      </c>
      <c r="O217" s="16" t="s">
        <v>592</v>
      </c>
      <c r="P217" s="18" t="s">
        <v>385</v>
      </c>
      <c r="Q217" s="45">
        <v>1832.88</v>
      </c>
      <c r="R217" s="45">
        <v>6717.27</v>
      </c>
      <c r="S217" s="45">
        <f t="shared" si="41"/>
        <v>8550.1500000000015</v>
      </c>
      <c r="T217" s="64">
        <f t="shared" si="37"/>
        <v>9405.1650000000027</v>
      </c>
      <c r="U217" s="65"/>
      <c r="V217" s="65"/>
      <c r="W217" s="21">
        <f t="shared" si="38"/>
        <v>0</v>
      </c>
      <c r="X217" s="22">
        <f t="shared" si="39"/>
        <v>8550.1500000000015</v>
      </c>
      <c r="Y217" s="35">
        <f t="shared" si="40"/>
        <v>1</v>
      </c>
      <c r="Z217" s="20"/>
      <c r="AA217" s="11"/>
      <c r="AB217" s="20"/>
      <c r="AC217" s="24" t="s">
        <v>73</v>
      </c>
      <c r="AD217" s="10" t="s">
        <v>47</v>
      </c>
      <c r="AE217" s="10">
        <v>43265</v>
      </c>
      <c r="AF217" s="48"/>
      <c r="AG217" s="10">
        <v>43371</v>
      </c>
      <c r="AH217" s="25">
        <f t="shared" si="42"/>
        <v>106</v>
      </c>
      <c r="AK217" s="27"/>
    </row>
    <row r="218" spans="1:37" s="26" customFormat="1" ht="14.25" customHeight="1" x14ac:dyDescent="0.45">
      <c r="A218" s="8" t="s">
        <v>34</v>
      </c>
      <c r="B218" s="8" t="s">
        <v>297</v>
      </c>
      <c r="C218" s="8" t="s">
        <v>36</v>
      </c>
      <c r="D218" s="9" t="s">
        <v>593</v>
      </c>
      <c r="E218" s="9">
        <v>43360</v>
      </c>
      <c r="F218" s="10">
        <v>43328</v>
      </c>
      <c r="G218" s="11">
        <v>43329</v>
      </c>
      <c r="H218" s="14">
        <v>43329</v>
      </c>
      <c r="I218" s="54">
        <v>43343</v>
      </c>
      <c r="J218" s="14">
        <f>G218+14</f>
        <v>43343</v>
      </c>
      <c r="K218" s="14">
        <f>J218+14</f>
        <v>43357</v>
      </c>
      <c r="L218" s="9"/>
      <c r="M218" s="10" t="str">
        <f t="shared" si="35"/>
        <v>Aug-18</v>
      </c>
      <c r="N218" s="10" t="str">
        <f t="shared" si="36"/>
        <v>Sep-18</v>
      </c>
      <c r="O218" s="16" t="s">
        <v>594</v>
      </c>
      <c r="P218" s="18" t="s">
        <v>595</v>
      </c>
      <c r="Q218" s="45">
        <v>16470.774000000001</v>
      </c>
      <c r="R218" s="45">
        <v>6157.91</v>
      </c>
      <c r="S218" s="45">
        <f t="shared" si="41"/>
        <v>22628.684000000001</v>
      </c>
      <c r="T218" s="64">
        <f t="shared" si="37"/>
        <v>24891.552400000004</v>
      </c>
      <c r="U218" s="65">
        <v>10881.5</v>
      </c>
      <c r="V218" s="65">
        <f>910+715+255+720+255+150</f>
        <v>3005</v>
      </c>
      <c r="W218" s="21">
        <f t="shared" si="38"/>
        <v>13886.5</v>
      </c>
      <c r="X218" s="22">
        <f t="shared" si="39"/>
        <v>8742.1840000000011</v>
      </c>
      <c r="Y218" s="35">
        <f t="shared" si="40"/>
        <v>0.38633196698491173</v>
      </c>
      <c r="Z218" s="20"/>
      <c r="AA218" s="11"/>
      <c r="AB218" s="20"/>
      <c r="AC218" s="24" t="s">
        <v>69</v>
      </c>
      <c r="AD218" s="10">
        <v>43255</v>
      </c>
      <c r="AE218" s="10">
        <v>43270</v>
      </c>
      <c r="AF218" s="63">
        <f>AE218-AD218</f>
        <v>15</v>
      </c>
      <c r="AG218" s="10">
        <v>43280</v>
      </c>
      <c r="AH218" s="25">
        <f t="shared" si="42"/>
        <v>10</v>
      </c>
      <c r="AK218" s="27"/>
    </row>
    <row r="219" spans="1:37" s="26" customFormat="1" ht="14.25" customHeight="1" x14ac:dyDescent="0.45">
      <c r="A219" s="28" t="s">
        <v>41</v>
      </c>
      <c r="B219" s="8" t="s">
        <v>35</v>
      </c>
      <c r="C219" s="8" t="s">
        <v>36</v>
      </c>
      <c r="D219" s="9" t="s">
        <v>596</v>
      </c>
      <c r="E219" s="9">
        <v>43287</v>
      </c>
      <c r="F219" s="10">
        <v>43269</v>
      </c>
      <c r="G219" s="11">
        <v>43269</v>
      </c>
      <c r="H219" s="116"/>
      <c r="I219" s="117"/>
      <c r="J219" s="14">
        <f>G219+14</f>
        <v>43283</v>
      </c>
      <c r="K219" s="14">
        <v>43286</v>
      </c>
      <c r="L219" s="9"/>
      <c r="M219" s="10" t="str">
        <f t="shared" si="35"/>
        <v>Jun-18</v>
      </c>
      <c r="N219" s="10" t="str">
        <f t="shared" si="36"/>
        <v>Jul-18</v>
      </c>
      <c r="O219" s="16" t="s">
        <v>597</v>
      </c>
      <c r="P219" s="18" t="s">
        <v>598</v>
      </c>
      <c r="Q219" s="45">
        <v>1065</v>
      </c>
      <c r="R219" s="73"/>
      <c r="S219" s="45">
        <f t="shared" si="41"/>
        <v>1065</v>
      </c>
      <c r="T219" s="64">
        <f t="shared" si="37"/>
        <v>1171.5</v>
      </c>
      <c r="U219" s="65"/>
      <c r="V219" s="65"/>
      <c r="W219" s="21">
        <f t="shared" si="38"/>
        <v>0</v>
      </c>
      <c r="X219" s="22">
        <f t="shared" si="39"/>
        <v>1065</v>
      </c>
      <c r="Y219" s="35">
        <f t="shared" si="40"/>
        <v>1</v>
      </c>
      <c r="Z219" s="20"/>
      <c r="AA219" s="11"/>
      <c r="AB219" s="20"/>
      <c r="AC219" s="24" t="s">
        <v>61</v>
      </c>
      <c r="AD219" s="10">
        <v>43209</v>
      </c>
      <c r="AE219" s="10">
        <v>43265</v>
      </c>
      <c r="AF219" s="63">
        <f>AE219-AD219</f>
        <v>56</v>
      </c>
      <c r="AG219" s="10">
        <v>43280</v>
      </c>
      <c r="AH219" s="25">
        <f t="shared" si="42"/>
        <v>15</v>
      </c>
      <c r="AK219" s="27"/>
    </row>
    <row r="220" spans="1:37" s="26" customFormat="1" ht="14.25" customHeight="1" x14ac:dyDescent="0.45">
      <c r="A220" s="28" t="s">
        <v>41</v>
      </c>
      <c r="B220" s="8" t="s">
        <v>65</v>
      </c>
      <c r="C220" s="8" t="s">
        <v>57</v>
      </c>
      <c r="D220" s="9"/>
      <c r="E220" s="9"/>
      <c r="F220" s="10"/>
      <c r="G220" s="10">
        <v>43554</v>
      </c>
      <c r="H220" s="51"/>
      <c r="I220" s="52"/>
      <c r="J220" s="51"/>
      <c r="K220" s="51"/>
      <c r="L220" s="9"/>
      <c r="M220" s="10" t="str">
        <f t="shared" si="35"/>
        <v>Mar-19</v>
      </c>
      <c r="N220" s="10" t="str">
        <f t="shared" si="36"/>
        <v>Jan-00</v>
      </c>
      <c r="O220" s="16" t="s">
        <v>599</v>
      </c>
      <c r="P220" s="18" t="s">
        <v>68</v>
      </c>
      <c r="Q220" s="45">
        <v>1194.07</v>
      </c>
      <c r="R220" s="45"/>
      <c r="S220" s="45">
        <f t="shared" si="41"/>
        <v>1194.07</v>
      </c>
      <c r="T220" s="64">
        <f t="shared" si="37"/>
        <v>1313.4770000000001</v>
      </c>
      <c r="U220" s="65"/>
      <c r="V220" s="65"/>
      <c r="W220" s="21">
        <f t="shared" si="38"/>
        <v>0</v>
      </c>
      <c r="X220" s="22">
        <f t="shared" si="39"/>
        <v>1194.07</v>
      </c>
      <c r="Y220" s="35">
        <f t="shared" si="40"/>
        <v>1</v>
      </c>
      <c r="Z220" s="20"/>
      <c r="AA220" s="11"/>
      <c r="AB220" s="20"/>
      <c r="AC220" s="24" t="s">
        <v>61</v>
      </c>
      <c r="AD220" s="10" t="s">
        <v>47</v>
      </c>
      <c r="AE220" s="10">
        <v>43265</v>
      </c>
      <c r="AF220" s="48"/>
      <c r="AG220" s="10">
        <v>43363</v>
      </c>
      <c r="AH220" s="25">
        <f t="shared" si="42"/>
        <v>98</v>
      </c>
      <c r="AK220" s="27"/>
    </row>
    <row r="221" spans="1:37" s="26" customFormat="1" ht="14.25" customHeight="1" x14ac:dyDescent="0.45">
      <c r="A221" s="28" t="s">
        <v>41</v>
      </c>
      <c r="B221" s="8" t="s">
        <v>373</v>
      </c>
      <c r="C221" s="28" t="s">
        <v>43</v>
      </c>
      <c r="D221" s="9"/>
      <c r="E221" s="9"/>
      <c r="F221" s="10"/>
      <c r="G221" s="11">
        <v>43646</v>
      </c>
      <c r="H221" s="51"/>
      <c r="I221" s="52"/>
      <c r="J221" s="51"/>
      <c r="K221" s="51"/>
      <c r="L221" s="9"/>
      <c r="M221" s="10" t="str">
        <f t="shared" si="35"/>
        <v>Jun-19</v>
      </c>
      <c r="N221" s="10" t="str">
        <f t="shared" si="36"/>
        <v>Jan-00</v>
      </c>
      <c r="O221" s="16" t="s">
        <v>600</v>
      </c>
      <c r="P221" s="18" t="s">
        <v>601</v>
      </c>
      <c r="Q221" s="45">
        <v>3328.23</v>
      </c>
      <c r="R221" s="45"/>
      <c r="S221" s="45">
        <f t="shared" si="41"/>
        <v>3328.23</v>
      </c>
      <c r="T221" s="64">
        <f t="shared" si="37"/>
        <v>3661.0530000000003</v>
      </c>
      <c r="U221" s="65"/>
      <c r="V221" s="65"/>
      <c r="W221" s="21">
        <f t="shared" si="38"/>
        <v>0</v>
      </c>
      <c r="X221" s="22">
        <f t="shared" si="39"/>
        <v>3328.23</v>
      </c>
      <c r="Y221" s="35">
        <f t="shared" si="40"/>
        <v>1</v>
      </c>
      <c r="Z221" s="20"/>
      <c r="AA221" s="11"/>
      <c r="AB221" s="20"/>
      <c r="AC221" s="24" t="s">
        <v>73</v>
      </c>
      <c r="AD221" s="10" t="s">
        <v>47</v>
      </c>
      <c r="AE221" s="10">
        <v>43266</v>
      </c>
      <c r="AF221" s="48"/>
      <c r="AG221" s="10">
        <v>43342</v>
      </c>
      <c r="AH221" s="25">
        <f t="shared" si="42"/>
        <v>76</v>
      </c>
      <c r="AK221" s="27"/>
    </row>
    <row r="222" spans="1:37" s="26" customFormat="1" ht="14.25" customHeight="1" x14ac:dyDescent="0.45">
      <c r="A222" s="28" t="s">
        <v>41</v>
      </c>
      <c r="B222" s="8" t="s">
        <v>129</v>
      </c>
      <c r="C222" s="8" t="s">
        <v>57</v>
      </c>
      <c r="D222" s="9" t="s">
        <v>602</v>
      </c>
      <c r="E222" s="9">
        <v>43384</v>
      </c>
      <c r="F222" s="10">
        <v>43360</v>
      </c>
      <c r="G222" s="110">
        <v>43360</v>
      </c>
      <c r="H222" s="14">
        <v>43361</v>
      </c>
      <c r="I222" s="54">
        <v>43370</v>
      </c>
      <c r="J222" s="14">
        <f t="shared" ref="J222:J232" si="43">G222+14</f>
        <v>43374</v>
      </c>
      <c r="K222" s="14">
        <v>43384</v>
      </c>
      <c r="L222" s="9"/>
      <c r="M222" s="10" t="str">
        <f t="shared" si="35"/>
        <v>Sep-18</v>
      </c>
      <c r="N222" s="10" t="str">
        <f t="shared" si="36"/>
        <v>Oct-18</v>
      </c>
      <c r="O222" s="16" t="s">
        <v>603</v>
      </c>
      <c r="P222" s="18" t="s">
        <v>604</v>
      </c>
      <c r="Q222" s="45">
        <v>1458.46</v>
      </c>
      <c r="R222" s="45">
        <v>603.36</v>
      </c>
      <c r="S222" s="45">
        <f t="shared" si="41"/>
        <v>2061.8200000000002</v>
      </c>
      <c r="T222" s="64">
        <f t="shared" si="37"/>
        <v>2268.0020000000004</v>
      </c>
      <c r="U222" s="65">
        <v>986</v>
      </c>
      <c r="V222" s="65"/>
      <c r="W222" s="21">
        <f t="shared" si="38"/>
        <v>986</v>
      </c>
      <c r="X222" s="22">
        <f t="shared" si="39"/>
        <v>1075.8200000000002</v>
      </c>
      <c r="Y222" s="35">
        <f t="shared" si="40"/>
        <v>0.52178172682387414</v>
      </c>
      <c r="Z222" s="20"/>
      <c r="AA222" s="11"/>
      <c r="AB222" s="20"/>
      <c r="AC222" s="24" t="s">
        <v>73</v>
      </c>
      <c r="AD222" s="10" t="s">
        <v>47</v>
      </c>
      <c r="AE222" s="10">
        <v>43266</v>
      </c>
      <c r="AF222" s="48"/>
      <c r="AG222" s="10">
        <v>43340</v>
      </c>
      <c r="AH222" s="25">
        <f t="shared" si="42"/>
        <v>74</v>
      </c>
      <c r="AK222" s="27"/>
    </row>
    <row r="223" spans="1:37" s="26" customFormat="1" ht="14.25" customHeight="1" x14ac:dyDescent="0.45">
      <c r="A223" s="8" t="s">
        <v>34</v>
      </c>
      <c r="B223" s="8" t="s">
        <v>35</v>
      </c>
      <c r="C223" s="8" t="s">
        <v>36</v>
      </c>
      <c r="D223" s="9" t="s">
        <v>605</v>
      </c>
      <c r="E223" s="9">
        <v>43307</v>
      </c>
      <c r="F223" s="10">
        <v>43278</v>
      </c>
      <c r="G223" s="11">
        <v>43278</v>
      </c>
      <c r="H223" s="67"/>
      <c r="I223" s="68"/>
      <c r="J223" s="14">
        <f t="shared" si="43"/>
        <v>43292</v>
      </c>
      <c r="K223" s="14">
        <v>43293</v>
      </c>
      <c r="L223" s="9"/>
      <c r="M223" s="10" t="str">
        <f t="shared" si="35"/>
        <v>Jun-18</v>
      </c>
      <c r="N223" s="10" t="str">
        <f t="shared" si="36"/>
        <v>Jul-18</v>
      </c>
      <c r="O223" s="16" t="s">
        <v>606</v>
      </c>
      <c r="P223" s="18" t="s">
        <v>440</v>
      </c>
      <c r="Q223" s="45">
        <v>4848.55</v>
      </c>
      <c r="R223" s="73"/>
      <c r="S223" s="45">
        <f t="shared" si="41"/>
        <v>4848.55</v>
      </c>
      <c r="T223" s="64">
        <f t="shared" si="37"/>
        <v>5333.4050000000007</v>
      </c>
      <c r="U223" s="65"/>
      <c r="V223" s="65"/>
      <c r="W223" s="21">
        <f t="shared" si="38"/>
        <v>0</v>
      </c>
      <c r="X223" s="22">
        <f t="shared" si="39"/>
        <v>4848.55</v>
      </c>
      <c r="Y223" s="35">
        <f t="shared" si="40"/>
        <v>1</v>
      </c>
      <c r="Z223" s="20"/>
      <c r="AA223" s="11"/>
      <c r="AB223" s="20"/>
      <c r="AC223" s="24" t="s">
        <v>73</v>
      </c>
      <c r="AD223" s="10" t="s">
        <v>47</v>
      </c>
      <c r="AE223" s="10">
        <v>43266</v>
      </c>
      <c r="AF223" s="48"/>
      <c r="AG223" s="10">
        <v>43280</v>
      </c>
      <c r="AH223" s="25">
        <f t="shared" si="42"/>
        <v>14</v>
      </c>
      <c r="AK223" s="27"/>
    </row>
    <row r="224" spans="1:37" s="26" customFormat="1" ht="14.25" customHeight="1" x14ac:dyDescent="0.45">
      <c r="A224" s="28" t="s">
        <v>41</v>
      </c>
      <c r="B224" s="8" t="s">
        <v>65</v>
      </c>
      <c r="C224" s="8" t="s">
        <v>57</v>
      </c>
      <c r="D224" s="9" t="s">
        <v>607</v>
      </c>
      <c r="E224" s="9">
        <v>43354</v>
      </c>
      <c r="F224" s="10">
        <v>43312</v>
      </c>
      <c r="G224" s="11">
        <v>43312</v>
      </c>
      <c r="H224" s="15">
        <v>43314</v>
      </c>
      <c r="I224" s="49">
        <v>43342</v>
      </c>
      <c r="J224" s="14">
        <f t="shared" si="43"/>
        <v>43326</v>
      </c>
      <c r="K224" s="15">
        <f>I224+14</f>
        <v>43356</v>
      </c>
      <c r="L224" s="9"/>
      <c r="M224" s="10" t="str">
        <f t="shared" si="35"/>
        <v>Jul-18</v>
      </c>
      <c r="N224" s="10" t="str">
        <f t="shared" si="36"/>
        <v>Sep-18</v>
      </c>
      <c r="O224" s="16" t="s">
        <v>608</v>
      </c>
      <c r="P224" s="18" t="s">
        <v>609</v>
      </c>
      <c r="Q224" s="45">
        <v>6779.46</v>
      </c>
      <c r="R224" s="45">
        <v>2681.11</v>
      </c>
      <c r="S224" s="45">
        <f t="shared" si="41"/>
        <v>9460.57</v>
      </c>
      <c r="T224" s="64">
        <f t="shared" si="37"/>
        <v>10406.627</v>
      </c>
      <c r="U224" s="65"/>
      <c r="V224" s="65"/>
      <c r="W224" s="21">
        <f t="shared" si="38"/>
        <v>0</v>
      </c>
      <c r="X224" s="22">
        <f t="shared" si="39"/>
        <v>9460.57</v>
      </c>
      <c r="Y224" s="35">
        <f t="shared" si="40"/>
        <v>1</v>
      </c>
      <c r="Z224" s="20"/>
      <c r="AA224" s="11"/>
      <c r="AB224" s="20"/>
      <c r="AC224" s="24" t="s">
        <v>73</v>
      </c>
      <c r="AD224" s="10" t="s">
        <v>47</v>
      </c>
      <c r="AE224" s="10">
        <v>43266</v>
      </c>
      <c r="AF224" s="48"/>
      <c r="AG224" s="10">
        <v>43371</v>
      </c>
      <c r="AH224" s="25">
        <f t="shared" si="42"/>
        <v>105</v>
      </c>
      <c r="AK224" s="27"/>
    </row>
    <row r="225" spans="1:37" s="26" customFormat="1" ht="14.25" customHeight="1" x14ac:dyDescent="0.45">
      <c r="A225" s="28" t="s">
        <v>41</v>
      </c>
      <c r="B225" s="8" t="s">
        <v>35</v>
      </c>
      <c r="C225" s="8" t="s">
        <v>36</v>
      </c>
      <c r="D225" s="9" t="s">
        <v>610</v>
      </c>
      <c r="E225" s="9">
        <v>43315</v>
      </c>
      <c r="F225" s="10">
        <v>43285</v>
      </c>
      <c r="G225" s="11">
        <v>43285</v>
      </c>
      <c r="H225" s="14">
        <v>43290</v>
      </c>
      <c r="I225" s="54">
        <v>43307</v>
      </c>
      <c r="J225" s="14">
        <f t="shared" si="43"/>
        <v>43299</v>
      </c>
      <c r="K225" s="77">
        <v>43314</v>
      </c>
      <c r="L225" s="9"/>
      <c r="M225" s="10" t="str">
        <f t="shared" si="35"/>
        <v>Jul-18</v>
      </c>
      <c r="N225" s="10" t="str">
        <f t="shared" si="36"/>
        <v>Aug-18</v>
      </c>
      <c r="O225" s="16" t="s">
        <v>611</v>
      </c>
      <c r="P225" s="18" t="s">
        <v>54</v>
      </c>
      <c r="Q225" s="45">
        <v>3687.45</v>
      </c>
      <c r="R225" s="45">
        <v>2280.35</v>
      </c>
      <c r="S225" s="45">
        <f t="shared" si="41"/>
        <v>5967.7999999999993</v>
      </c>
      <c r="T225" s="64">
        <f t="shared" si="37"/>
        <v>6564.58</v>
      </c>
      <c r="U225" s="65"/>
      <c r="V225" s="65"/>
      <c r="W225" s="21">
        <f t="shared" si="38"/>
        <v>0</v>
      </c>
      <c r="X225" s="22">
        <f t="shared" si="39"/>
        <v>5967.7999999999993</v>
      </c>
      <c r="Y225" s="35">
        <f t="shared" si="40"/>
        <v>1</v>
      </c>
      <c r="Z225" s="20"/>
      <c r="AA225" s="11"/>
      <c r="AB225" s="20"/>
      <c r="AC225" s="24" t="s">
        <v>73</v>
      </c>
      <c r="AD225" s="10" t="s">
        <v>47</v>
      </c>
      <c r="AE225" s="10">
        <v>43266</v>
      </c>
      <c r="AF225" s="48"/>
      <c r="AG225" s="10">
        <v>43371</v>
      </c>
      <c r="AH225" s="25">
        <f t="shared" si="42"/>
        <v>105</v>
      </c>
      <c r="AI225" s="43"/>
      <c r="AJ225" s="43"/>
      <c r="AK225" s="27"/>
    </row>
    <row r="226" spans="1:37" s="26" customFormat="1" ht="14.25" customHeight="1" x14ac:dyDescent="0.45">
      <c r="A226" s="8" t="s">
        <v>34</v>
      </c>
      <c r="B226" s="8" t="s">
        <v>35</v>
      </c>
      <c r="C226" s="8" t="s">
        <v>36</v>
      </c>
      <c r="D226" s="9" t="s">
        <v>612</v>
      </c>
      <c r="E226" s="9">
        <v>43287</v>
      </c>
      <c r="F226" s="10">
        <v>43269</v>
      </c>
      <c r="G226" s="10">
        <v>43269</v>
      </c>
      <c r="H226" s="55">
        <v>43269</v>
      </c>
      <c r="I226" s="54">
        <v>43271</v>
      </c>
      <c r="J226" s="14">
        <f t="shared" si="43"/>
        <v>43283</v>
      </c>
      <c r="K226" s="14">
        <v>43286</v>
      </c>
      <c r="L226" s="9"/>
      <c r="M226" s="10" t="str">
        <f t="shared" si="35"/>
        <v>Jun-18</v>
      </c>
      <c r="N226" s="10" t="str">
        <f t="shared" si="36"/>
        <v>Jul-18</v>
      </c>
      <c r="O226" s="16" t="s">
        <v>613</v>
      </c>
      <c r="P226" s="18" t="s">
        <v>81</v>
      </c>
      <c r="Q226" s="45">
        <v>3239.95</v>
      </c>
      <c r="R226" s="45">
        <v>3749.57</v>
      </c>
      <c r="S226" s="45">
        <f t="shared" si="41"/>
        <v>6989.52</v>
      </c>
      <c r="T226" s="64">
        <f t="shared" si="37"/>
        <v>7688.4720000000007</v>
      </c>
      <c r="U226" s="65"/>
      <c r="V226" s="65">
        <v>1627.8534999999997</v>
      </c>
      <c r="W226" s="21">
        <f t="shared" si="38"/>
        <v>1627.8534999999997</v>
      </c>
      <c r="X226" s="22">
        <f t="shared" si="39"/>
        <v>5361.6665000000012</v>
      </c>
      <c r="Y226" s="35">
        <f t="shared" si="40"/>
        <v>0.7671008166512151</v>
      </c>
      <c r="Z226" s="20"/>
      <c r="AA226" s="11"/>
      <c r="AB226" s="20"/>
      <c r="AC226" s="24" t="s">
        <v>128</v>
      </c>
      <c r="AD226" s="10">
        <v>43256</v>
      </c>
      <c r="AE226" s="10">
        <v>43264</v>
      </c>
      <c r="AF226" s="48"/>
      <c r="AG226" s="10">
        <v>43283</v>
      </c>
      <c r="AH226" s="25">
        <f t="shared" si="42"/>
        <v>19</v>
      </c>
      <c r="AK226" s="27"/>
    </row>
    <row r="227" spans="1:37" s="26" customFormat="1" ht="14.25" customHeight="1" x14ac:dyDescent="0.45">
      <c r="A227" s="28" t="s">
        <v>41</v>
      </c>
      <c r="B227" s="8" t="s">
        <v>35</v>
      </c>
      <c r="C227" s="8" t="s">
        <v>36</v>
      </c>
      <c r="D227" s="9" t="s">
        <v>614</v>
      </c>
      <c r="E227" s="9">
        <v>43384</v>
      </c>
      <c r="F227" s="10">
        <v>43335</v>
      </c>
      <c r="G227" s="11">
        <v>43341</v>
      </c>
      <c r="H227" s="15">
        <v>43349</v>
      </c>
      <c r="I227" s="49">
        <v>43368</v>
      </c>
      <c r="J227" s="14">
        <f t="shared" si="43"/>
        <v>43355</v>
      </c>
      <c r="K227" s="15">
        <v>43389</v>
      </c>
      <c r="L227" s="9"/>
      <c r="M227" s="10" t="str">
        <f t="shared" si="35"/>
        <v>Aug-18</v>
      </c>
      <c r="N227" s="10" t="str">
        <f t="shared" si="36"/>
        <v>Oct-18</v>
      </c>
      <c r="O227" s="16" t="s">
        <v>615</v>
      </c>
      <c r="P227" s="18" t="s">
        <v>39</v>
      </c>
      <c r="Q227" s="45">
        <v>1648</v>
      </c>
      <c r="R227" s="45">
        <v>15728.34</v>
      </c>
      <c r="S227" s="45">
        <f t="shared" si="41"/>
        <v>17376.34</v>
      </c>
      <c r="T227" s="64">
        <f t="shared" si="37"/>
        <v>19113.974000000002</v>
      </c>
      <c r="U227" s="65">
        <v>8298.32</v>
      </c>
      <c r="V227" s="65"/>
      <c r="W227" s="21">
        <f t="shared" si="38"/>
        <v>8298.32</v>
      </c>
      <c r="X227" s="22">
        <f t="shared" si="39"/>
        <v>9078.02</v>
      </c>
      <c r="Y227" s="35">
        <f t="shared" si="40"/>
        <v>0.52243567978066729</v>
      </c>
      <c r="Z227" s="20"/>
      <c r="AA227" s="11"/>
      <c r="AB227" s="20"/>
      <c r="AC227" s="24" t="s">
        <v>73</v>
      </c>
      <c r="AD227" s="10" t="s">
        <v>47</v>
      </c>
      <c r="AE227" s="10">
        <v>43269</v>
      </c>
      <c r="AF227" s="48"/>
      <c r="AG227" s="10">
        <v>43371</v>
      </c>
      <c r="AH227" s="25">
        <f t="shared" si="42"/>
        <v>102</v>
      </c>
      <c r="AK227" s="27"/>
    </row>
    <row r="228" spans="1:37" s="26" customFormat="1" ht="14.25" customHeight="1" x14ac:dyDescent="0.45">
      <c r="A228" s="28" t="s">
        <v>41</v>
      </c>
      <c r="B228" s="8" t="s">
        <v>35</v>
      </c>
      <c r="C228" s="8" t="s">
        <v>36</v>
      </c>
      <c r="D228" s="9" t="s">
        <v>616</v>
      </c>
      <c r="E228" s="9">
        <v>43361</v>
      </c>
      <c r="F228" s="10">
        <v>43304</v>
      </c>
      <c r="G228" s="11">
        <v>43305</v>
      </c>
      <c r="H228" s="15">
        <v>43306</v>
      </c>
      <c r="I228" s="49">
        <v>43342</v>
      </c>
      <c r="J228" s="14">
        <f t="shared" si="43"/>
        <v>43319</v>
      </c>
      <c r="K228" s="14">
        <f>I228+14</f>
        <v>43356</v>
      </c>
      <c r="L228" s="9"/>
      <c r="M228" s="10" t="str">
        <f t="shared" si="35"/>
        <v>Jul-18</v>
      </c>
      <c r="N228" s="10" t="str">
        <f t="shared" si="36"/>
        <v>Sep-18</v>
      </c>
      <c r="O228" s="16" t="s">
        <v>617</v>
      </c>
      <c r="P228" s="18" t="s">
        <v>235</v>
      </c>
      <c r="Q228" s="45">
        <v>958.19</v>
      </c>
      <c r="R228" s="45">
        <v>10874.165999999999</v>
      </c>
      <c r="S228" s="45">
        <f t="shared" si="41"/>
        <v>11832.356</v>
      </c>
      <c r="T228" s="64">
        <f t="shared" si="37"/>
        <v>13015.591600000002</v>
      </c>
      <c r="U228" s="65">
        <f>363.36+489.2</f>
        <v>852.56</v>
      </c>
      <c r="V228" s="65"/>
      <c r="W228" s="21">
        <f t="shared" si="38"/>
        <v>852.56</v>
      </c>
      <c r="X228" s="22">
        <f t="shared" si="39"/>
        <v>10979.796</v>
      </c>
      <c r="Y228" s="35">
        <f t="shared" si="40"/>
        <v>0.92794672506472931</v>
      </c>
      <c r="Z228" s="20"/>
      <c r="AA228" s="11"/>
      <c r="AB228" s="20"/>
      <c r="AC228" s="24" t="s">
        <v>73</v>
      </c>
      <c r="AD228" s="10" t="s">
        <v>47</v>
      </c>
      <c r="AE228" s="10">
        <v>43269</v>
      </c>
      <c r="AF228" s="48"/>
      <c r="AG228" s="10">
        <v>43340</v>
      </c>
      <c r="AH228" s="25">
        <f t="shared" si="42"/>
        <v>71</v>
      </c>
      <c r="AK228" s="27"/>
    </row>
    <row r="229" spans="1:37" s="26" customFormat="1" ht="14.25" customHeight="1" x14ac:dyDescent="0.45">
      <c r="A229" s="8" t="s">
        <v>34</v>
      </c>
      <c r="B229" s="8" t="s">
        <v>336</v>
      </c>
      <c r="C229" s="8" t="s">
        <v>36</v>
      </c>
      <c r="D229" s="9" t="s">
        <v>618</v>
      </c>
      <c r="E229" s="9">
        <v>43329</v>
      </c>
      <c r="F229" s="10">
        <v>43336</v>
      </c>
      <c r="G229" s="10">
        <v>43336</v>
      </c>
      <c r="H229" s="14">
        <v>43340</v>
      </c>
      <c r="I229" s="54">
        <v>43343</v>
      </c>
      <c r="J229" s="14">
        <f t="shared" si="43"/>
        <v>43350</v>
      </c>
      <c r="K229" s="14">
        <v>43361</v>
      </c>
      <c r="L229" s="9"/>
      <c r="M229" s="10" t="str">
        <f t="shared" si="35"/>
        <v>Aug-18</v>
      </c>
      <c r="N229" s="10" t="str">
        <f t="shared" si="36"/>
        <v>Sep-18</v>
      </c>
      <c r="O229" s="16" t="s">
        <v>619</v>
      </c>
      <c r="P229" s="18" t="s">
        <v>620</v>
      </c>
      <c r="Q229" s="45">
        <v>9674.98</v>
      </c>
      <c r="R229" s="45">
        <v>6664.6</v>
      </c>
      <c r="S229" s="45">
        <f t="shared" si="41"/>
        <v>16339.58</v>
      </c>
      <c r="T229" s="64">
        <f t="shared" si="37"/>
        <v>17973.538</v>
      </c>
      <c r="U229" s="65">
        <v>9666.42</v>
      </c>
      <c r="V229" s="65"/>
      <c r="W229" s="21">
        <f t="shared" si="38"/>
        <v>9666.42</v>
      </c>
      <c r="X229" s="22">
        <f t="shared" si="39"/>
        <v>6673.16</v>
      </c>
      <c r="Y229" s="35">
        <f t="shared" si="40"/>
        <v>0.4084046223954349</v>
      </c>
      <c r="Z229" s="20"/>
      <c r="AA229" s="11"/>
      <c r="AB229" s="20"/>
      <c r="AC229" s="24" t="s">
        <v>73</v>
      </c>
      <c r="AD229" s="10">
        <v>43269</v>
      </c>
      <c r="AE229" s="10">
        <v>43279</v>
      </c>
      <c r="AF229" s="63">
        <f>AE229-AD229</f>
        <v>10</v>
      </c>
      <c r="AG229" s="10">
        <v>43286</v>
      </c>
      <c r="AH229" s="25">
        <f t="shared" si="42"/>
        <v>7</v>
      </c>
      <c r="AK229" s="27"/>
    </row>
    <row r="230" spans="1:37" s="26" customFormat="1" ht="14.25" customHeight="1" x14ac:dyDescent="0.45">
      <c r="A230" s="28" t="s">
        <v>41</v>
      </c>
      <c r="B230" s="8" t="s">
        <v>35</v>
      </c>
      <c r="C230" s="8" t="s">
        <v>36</v>
      </c>
      <c r="D230" s="9" t="s">
        <v>621</v>
      </c>
      <c r="E230" s="9">
        <v>43326</v>
      </c>
      <c r="F230" s="10">
        <v>43304</v>
      </c>
      <c r="G230" s="11">
        <v>43305</v>
      </c>
      <c r="H230" s="14">
        <v>43305</v>
      </c>
      <c r="I230" s="54">
        <v>43312</v>
      </c>
      <c r="J230" s="14">
        <f t="shared" si="43"/>
        <v>43319</v>
      </c>
      <c r="K230" s="14">
        <v>43326</v>
      </c>
      <c r="L230" s="9"/>
      <c r="M230" s="10" t="str">
        <f t="shared" si="35"/>
        <v>Jul-18</v>
      </c>
      <c r="N230" s="10" t="str">
        <f t="shared" si="36"/>
        <v>Aug-18</v>
      </c>
      <c r="O230" s="16" t="s">
        <v>622</v>
      </c>
      <c r="P230" s="18" t="s">
        <v>623</v>
      </c>
      <c r="Q230" s="45">
        <v>7171.07</v>
      </c>
      <c r="R230" s="45">
        <v>11234.14</v>
      </c>
      <c r="S230" s="45">
        <f t="shared" si="41"/>
        <v>18405.21</v>
      </c>
      <c r="T230" s="64">
        <f t="shared" si="37"/>
        <v>20245.731</v>
      </c>
      <c r="U230" s="65">
        <v>15580.43</v>
      </c>
      <c r="V230" s="65">
        <v>487.30525</v>
      </c>
      <c r="W230" s="21">
        <f t="shared" si="38"/>
        <v>16067.73525</v>
      </c>
      <c r="X230" s="79">
        <f t="shared" si="39"/>
        <v>2337.4747499999994</v>
      </c>
      <c r="Y230" s="80">
        <f t="shared" si="40"/>
        <v>0.1270007106683379</v>
      </c>
      <c r="Z230" s="20"/>
      <c r="AA230" s="11"/>
      <c r="AB230" s="20"/>
      <c r="AC230" s="24" t="s">
        <v>73</v>
      </c>
      <c r="AD230" s="10" t="s">
        <v>47</v>
      </c>
      <c r="AE230" s="10">
        <v>43271</v>
      </c>
      <c r="AF230" s="48"/>
      <c r="AG230" s="10">
        <v>43371</v>
      </c>
      <c r="AH230" s="25">
        <f t="shared" si="42"/>
        <v>100</v>
      </c>
      <c r="AK230" s="27"/>
    </row>
    <row r="231" spans="1:37" s="26" customFormat="1" ht="14.25" customHeight="1" x14ac:dyDescent="0.45">
      <c r="A231" s="8" t="s">
        <v>34</v>
      </c>
      <c r="B231" s="8" t="s">
        <v>129</v>
      </c>
      <c r="C231" s="8" t="s">
        <v>57</v>
      </c>
      <c r="D231" s="9" t="s">
        <v>624</v>
      </c>
      <c r="E231" s="9">
        <v>43307</v>
      </c>
      <c r="F231" s="10">
        <v>43272</v>
      </c>
      <c r="G231" s="11">
        <v>43272</v>
      </c>
      <c r="H231" s="67"/>
      <c r="I231" s="68"/>
      <c r="J231" s="14">
        <f t="shared" si="43"/>
        <v>43286</v>
      </c>
      <c r="K231" s="12">
        <v>43293</v>
      </c>
      <c r="L231" s="9"/>
      <c r="M231" s="10" t="str">
        <f t="shared" si="35"/>
        <v>Jun-18</v>
      </c>
      <c r="N231" s="10" t="str">
        <f t="shared" si="36"/>
        <v>Jul-18</v>
      </c>
      <c r="O231" s="16" t="s">
        <v>625</v>
      </c>
      <c r="P231" s="18" t="s">
        <v>305</v>
      </c>
      <c r="Q231" s="45">
        <v>2717.54</v>
      </c>
      <c r="R231" s="45"/>
      <c r="S231" s="45">
        <f t="shared" si="41"/>
        <v>2717.54</v>
      </c>
      <c r="T231" s="64">
        <f t="shared" si="37"/>
        <v>2989.2940000000003</v>
      </c>
      <c r="U231" s="65"/>
      <c r="V231" s="65"/>
      <c r="W231" s="21">
        <f t="shared" si="38"/>
        <v>0</v>
      </c>
      <c r="X231" s="22">
        <f t="shared" si="39"/>
        <v>2717.54</v>
      </c>
      <c r="Y231" s="35">
        <f t="shared" si="40"/>
        <v>1</v>
      </c>
      <c r="Z231" s="20"/>
      <c r="AA231" s="11"/>
      <c r="AB231" s="20"/>
      <c r="AC231" s="24" t="s">
        <v>208</v>
      </c>
      <c r="AD231" s="10">
        <v>43237</v>
      </c>
      <c r="AE231" s="10">
        <v>43242</v>
      </c>
      <c r="AF231" s="63">
        <f>AE231-AD231</f>
        <v>5</v>
      </c>
      <c r="AG231" s="10">
        <v>43271</v>
      </c>
      <c r="AH231" s="25">
        <f t="shared" si="42"/>
        <v>29</v>
      </c>
      <c r="AK231" s="27"/>
    </row>
    <row r="232" spans="1:37" s="26" customFormat="1" ht="14.25" customHeight="1" x14ac:dyDescent="0.45">
      <c r="A232" s="28" t="s">
        <v>367</v>
      </c>
      <c r="B232" s="8" t="s">
        <v>35</v>
      </c>
      <c r="C232" s="8" t="s">
        <v>378</v>
      </c>
      <c r="D232" s="9" t="s">
        <v>626</v>
      </c>
      <c r="E232" s="9">
        <v>43511</v>
      </c>
      <c r="F232" s="9">
        <v>43473</v>
      </c>
      <c r="G232" s="10">
        <v>43473</v>
      </c>
      <c r="H232" s="14">
        <v>43475</v>
      </c>
      <c r="I232" s="54">
        <v>43115</v>
      </c>
      <c r="J232" s="14">
        <f t="shared" si="43"/>
        <v>43487</v>
      </c>
      <c r="K232" s="15">
        <v>43511</v>
      </c>
      <c r="L232" s="9"/>
      <c r="M232" s="10" t="str">
        <f t="shared" si="35"/>
        <v>Jan-19</v>
      </c>
      <c r="N232" s="10" t="str">
        <f t="shared" si="36"/>
        <v>Feb-19</v>
      </c>
      <c r="O232" s="97" t="s">
        <v>627</v>
      </c>
      <c r="P232" s="98" t="s">
        <v>588</v>
      </c>
      <c r="Q232" s="99">
        <f>16276.86-Q233</f>
        <v>11393.802</v>
      </c>
      <c r="R232" s="45">
        <v>72682.835000000006</v>
      </c>
      <c r="S232" s="45">
        <f t="shared" si="41"/>
        <v>84076.637000000002</v>
      </c>
      <c r="T232" s="64">
        <f t="shared" si="37"/>
        <v>92484.300700000007</v>
      </c>
      <c r="U232" s="65">
        <v>50110</v>
      </c>
      <c r="V232" s="65"/>
      <c r="W232" s="21">
        <f t="shared" si="38"/>
        <v>50110</v>
      </c>
      <c r="X232" s="22">
        <f t="shared" si="39"/>
        <v>33966.637000000002</v>
      </c>
      <c r="Y232" s="35">
        <f t="shared" si="40"/>
        <v>0.40399614223390024</v>
      </c>
      <c r="Z232" s="20"/>
      <c r="AA232" s="11"/>
      <c r="AB232" s="20"/>
      <c r="AC232" s="24" t="s">
        <v>371</v>
      </c>
      <c r="AD232" s="10" t="s">
        <v>47</v>
      </c>
      <c r="AE232" s="70"/>
      <c r="AF232" s="71"/>
      <c r="AG232" s="70"/>
      <c r="AH232" s="72"/>
      <c r="AK232" s="27"/>
    </row>
    <row r="233" spans="1:37" s="26" customFormat="1" ht="14.25" customHeight="1" x14ac:dyDescent="0.45">
      <c r="A233" s="28" t="s">
        <v>367</v>
      </c>
      <c r="B233" s="8" t="s">
        <v>35</v>
      </c>
      <c r="C233" s="8" t="s">
        <v>378</v>
      </c>
      <c r="D233" s="9" t="s">
        <v>628</v>
      </c>
      <c r="E233" s="9">
        <v>43299</v>
      </c>
      <c r="F233" s="9">
        <v>43299</v>
      </c>
      <c r="G233" s="10">
        <v>43295</v>
      </c>
      <c r="H233" s="67"/>
      <c r="I233" s="68"/>
      <c r="J233" s="67"/>
      <c r="K233" s="14">
        <v>43298</v>
      </c>
      <c r="L233" s="9"/>
      <c r="M233" s="10" t="str">
        <f t="shared" si="35"/>
        <v>Jul-18</v>
      </c>
      <c r="N233" s="10" t="str">
        <f t="shared" si="36"/>
        <v>Jul-18</v>
      </c>
      <c r="O233" s="97" t="s">
        <v>627</v>
      </c>
      <c r="P233" s="98" t="s">
        <v>588</v>
      </c>
      <c r="Q233" s="99">
        <f>16276.86*0.3</f>
        <v>4883.058</v>
      </c>
      <c r="R233" s="73"/>
      <c r="S233" s="45">
        <f t="shared" si="41"/>
        <v>4883.058</v>
      </c>
      <c r="T233" s="64">
        <f t="shared" si="37"/>
        <v>5371.3638000000001</v>
      </c>
      <c r="U233" s="100"/>
      <c r="V233" s="100"/>
      <c r="W233" s="21">
        <f t="shared" si="38"/>
        <v>0</v>
      </c>
      <c r="X233" s="22">
        <f t="shared" si="39"/>
        <v>4883.058</v>
      </c>
      <c r="Y233" s="35">
        <f t="shared" si="40"/>
        <v>1</v>
      </c>
      <c r="Z233" s="20"/>
      <c r="AA233" s="11"/>
      <c r="AB233" s="20"/>
      <c r="AC233" s="24" t="s">
        <v>371</v>
      </c>
      <c r="AD233" s="10" t="s">
        <v>47</v>
      </c>
      <c r="AE233" s="70"/>
      <c r="AF233" s="71"/>
      <c r="AG233" s="70"/>
      <c r="AH233" s="72"/>
      <c r="AK233" s="27"/>
    </row>
    <row r="234" spans="1:37" s="26" customFormat="1" ht="14.25" customHeight="1" x14ac:dyDescent="0.45">
      <c r="A234" s="28" t="s">
        <v>367</v>
      </c>
      <c r="B234" s="8" t="s">
        <v>35</v>
      </c>
      <c r="C234" s="8" t="s">
        <v>378</v>
      </c>
      <c r="D234" s="9" t="s">
        <v>629</v>
      </c>
      <c r="E234" s="9">
        <v>43453</v>
      </c>
      <c r="F234" s="10">
        <v>43427</v>
      </c>
      <c r="G234" s="10">
        <v>43427</v>
      </c>
      <c r="H234" s="14">
        <v>43430</v>
      </c>
      <c r="I234" s="54">
        <v>43440</v>
      </c>
      <c r="J234" s="14">
        <f>G234+14</f>
        <v>43441</v>
      </c>
      <c r="K234" s="14">
        <v>43454</v>
      </c>
      <c r="L234" s="9"/>
      <c r="M234" s="10" t="str">
        <f t="shared" si="35"/>
        <v>Nov-18</v>
      </c>
      <c r="N234" s="10" t="str">
        <f t="shared" si="36"/>
        <v>Dec-18</v>
      </c>
      <c r="O234" s="97" t="s">
        <v>630</v>
      </c>
      <c r="P234" s="98" t="s">
        <v>588</v>
      </c>
      <c r="Q234" s="99">
        <f>30500.63-Q235</f>
        <v>21350.440000000002</v>
      </c>
      <c r="R234" s="45">
        <v>109618.14</v>
      </c>
      <c r="S234" s="45">
        <f t="shared" si="41"/>
        <v>130968.58</v>
      </c>
      <c r="T234" s="64">
        <f t="shared" si="37"/>
        <v>144065.43800000002</v>
      </c>
      <c r="U234" s="65">
        <v>78690</v>
      </c>
      <c r="V234" s="34"/>
      <c r="W234" s="21">
        <f t="shared" si="38"/>
        <v>78690</v>
      </c>
      <c r="X234" s="22">
        <f t="shared" si="39"/>
        <v>52278.58</v>
      </c>
      <c r="Y234" s="35">
        <f t="shared" si="40"/>
        <v>0.39916886935782614</v>
      </c>
      <c r="Z234" s="20"/>
      <c r="AA234" s="11"/>
      <c r="AB234" s="20"/>
      <c r="AC234" s="24" t="s">
        <v>371</v>
      </c>
      <c r="AD234" s="10" t="s">
        <v>47</v>
      </c>
      <c r="AE234" s="70"/>
      <c r="AF234" s="71"/>
      <c r="AG234" s="70"/>
      <c r="AH234" s="72"/>
      <c r="AK234" s="27"/>
    </row>
    <row r="235" spans="1:37" s="26" customFormat="1" ht="14.25" customHeight="1" x14ac:dyDescent="0.45">
      <c r="A235" s="28" t="s">
        <v>367</v>
      </c>
      <c r="B235" s="8" t="s">
        <v>35</v>
      </c>
      <c r="C235" s="8" t="s">
        <v>378</v>
      </c>
      <c r="D235" s="9" t="s">
        <v>631</v>
      </c>
      <c r="E235" s="10">
        <v>43299</v>
      </c>
      <c r="F235" s="10">
        <v>43299</v>
      </c>
      <c r="G235" s="10">
        <v>43295</v>
      </c>
      <c r="H235" s="67"/>
      <c r="I235" s="68"/>
      <c r="J235" s="67"/>
      <c r="K235" s="14">
        <v>43298</v>
      </c>
      <c r="L235" s="9"/>
      <c r="M235" s="10" t="str">
        <f t="shared" si="35"/>
        <v>Jul-18</v>
      </c>
      <c r="N235" s="10" t="str">
        <f t="shared" si="36"/>
        <v>Jul-18</v>
      </c>
      <c r="O235" s="97" t="s">
        <v>630</v>
      </c>
      <c r="P235" s="98" t="s">
        <v>588</v>
      </c>
      <c r="Q235" s="99">
        <v>9150.19</v>
      </c>
      <c r="R235" s="73"/>
      <c r="S235" s="45">
        <f t="shared" si="41"/>
        <v>9150.19</v>
      </c>
      <c r="T235" s="64">
        <f t="shared" si="37"/>
        <v>10065.209000000001</v>
      </c>
      <c r="U235" s="100"/>
      <c r="V235" s="100"/>
      <c r="W235" s="21">
        <f t="shared" si="38"/>
        <v>0</v>
      </c>
      <c r="X235" s="22">
        <f t="shared" si="39"/>
        <v>9150.19</v>
      </c>
      <c r="Y235" s="35">
        <f t="shared" si="40"/>
        <v>1</v>
      </c>
      <c r="Z235" s="20"/>
      <c r="AA235" s="11"/>
      <c r="AB235" s="20"/>
      <c r="AC235" s="24" t="s">
        <v>371</v>
      </c>
      <c r="AD235" s="10" t="s">
        <v>47</v>
      </c>
      <c r="AE235" s="70"/>
      <c r="AF235" s="71"/>
      <c r="AG235" s="70"/>
      <c r="AH235" s="72"/>
      <c r="AK235" s="27"/>
    </row>
    <row r="236" spans="1:37" s="26" customFormat="1" ht="14.25" customHeight="1" x14ac:dyDescent="0.45">
      <c r="A236" s="28" t="s">
        <v>367</v>
      </c>
      <c r="B236" s="8" t="s">
        <v>35</v>
      </c>
      <c r="C236" s="8" t="s">
        <v>378</v>
      </c>
      <c r="D236" s="9" t="s">
        <v>632</v>
      </c>
      <c r="E236" s="9">
        <v>43377</v>
      </c>
      <c r="F236" s="10">
        <v>43353</v>
      </c>
      <c r="G236" s="10">
        <v>43353</v>
      </c>
      <c r="H236" s="14">
        <v>43353</v>
      </c>
      <c r="I236" s="54">
        <v>43356</v>
      </c>
      <c r="J236" s="14">
        <f>G236+14</f>
        <v>43367</v>
      </c>
      <c r="K236" s="14">
        <v>43377</v>
      </c>
      <c r="L236" s="9"/>
      <c r="M236" s="10" t="str">
        <f t="shared" si="35"/>
        <v>Sep-18</v>
      </c>
      <c r="N236" s="10" t="str">
        <f t="shared" si="36"/>
        <v>Oct-18</v>
      </c>
      <c r="O236" s="97" t="s">
        <v>633</v>
      </c>
      <c r="P236" s="98" t="s">
        <v>634</v>
      </c>
      <c r="Q236" s="99">
        <f>7563.87-Q237</f>
        <v>5294.71</v>
      </c>
      <c r="R236" s="45">
        <v>14243.93</v>
      </c>
      <c r="S236" s="45">
        <f t="shared" si="41"/>
        <v>19538.64</v>
      </c>
      <c r="T236" s="64">
        <f t="shared" si="37"/>
        <v>21492.504000000001</v>
      </c>
      <c r="U236" s="65">
        <f>2088.5+3060</f>
        <v>5148.5</v>
      </c>
      <c r="V236" s="65"/>
      <c r="W236" s="21">
        <f t="shared" si="38"/>
        <v>5148.5</v>
      </c>
      <c r="X236" s="22">
        <f t="shared" si="39"/>
        <v>14390.14</v>
      </c>
      <c r="Y236" s="35">
        <f t="shared" si="40"/>
        <v>0.73649650129179922</v>
      </c>
      <c r="Z236" s="20"/>
      <c r="AA236" s="11"/>
      <c r="AB236" s="20"/>
      <c r="AC236" s="24" t="s">
        <v>371</v>
      </c>
      <c r="AD236" s="10" t="s">
        <v>47</v>
      </c>
      <c r="AE236" s="70"/>
      <c r="AF236" s="71"/>
      <c r="AG236" s="70"/>
      <c r="AH236" s="72"/>
      <c r="AK236" s="27"/>
    </row>
    <row r="237" spans="1:37" s="26" customFormat="1" ht="14.25" customHeight="1" x14ac:dyDescent="0.45">
      <c r="A237" s="28" t="s">
        <v>367</v>
      </c>
      <c r="B237" s="8" t="s">
        <v>35</v>
      </c>
      <c r="C237" s="8" t="s">
        <v>378</v>
      </c>
      <c r="D237" s="9" t="s">
        <v>635</v>
      </c>
      <c r="E237" s="9">
        <v>43299</v>
      </c>
      <c r="F237" s="9">
        <v>43299</v>
      </c>
      <c r="G237" s="10">
        <v>43295</v>
      </c>
      <c r="H237" s="67"/>
      <c r="I237" s="68"/>
      <c r="J237" s="67"/>
      <c r="K237" s="14">
        <v>43298</v>
      </c>
      <c r="L237" s="9"/>
      <c r="M237" s="10" t="str">
        <f t="shared" si="35"/>
        <v>Jul-18</v>
      </c>
      <c r="N237" s="10" t="str">
        <f t="shared" si="36"/>
        <v>Jul-18</v>
      </c>
      <c r="O237" s="97" t="s">
        <v>633</v>
      </c>
      <c r="P237" s="98" t="s">
        <v>634</v>
      </c>
      <c r="Q237" s="99">
        <v>2269.16</v>
      </c>
      <c r="R237" s="73"/>
      <c r="S237" s="45">
        <f t="shared" si="41"/>
        <v>2269.16</v>
      </c>
      <c r="T237" s="64">
        <f t="shared" si="37"/>
        <v>2496.076</v>
      </c>
      <c r="U237" s="100"/>
      <c r="V237" s="100"/>
      <c r="W237" s="21">
        <f t="shared" si="38"/>
        <v>0</v>
      </c>
      <c r="X237" s="22">
        <f t="shared" si="39"/>
        <v>2269.16</v>
      </c>
      <c r="Y237" s="35">
        <f t="shared" si="40"/>
        <v>1</v>
      </c>
      <c r="Z237" s="20"/>
      <c r="AA237" s="11"/>
      <c r="AB237" s="20"/>
      <c r="AC237" s="24" t="s">
        <v>371</v>
      </c>
      <c r="AD237" s="10" t="s">
        <v>47</v>
      </c>
      <c r="AE237" s="70"/>
      <c r="AF237" s="71"/>
      <c r="AG237" s="70"/>
      <c r="AH237" s="72"/>
      <c r="AK237" s="27"/>
    </row>
    <row r="238" spans="1:37" s="26" customFormat="1" ht="14.25" customHeight="1" x14ac:dyDescent="0.45">
      <c r="A238" s="118" t="s">
        <v>41</v>
      </c>
      <c r="B238" s="118" t="s">
        <v>35</v>
      </c>
      <c r="C238" s="118" t="s">
        <v>43</v>
      </c>
      <c r="D238" s="119"/>
      <c r="E238" s="119"/>
      <c r="F238" s="120">
        <v>43434</v>
      </c>
      <c r="G238" s="120">
        <v>43434</v>
      </c>
      <c r="H238" s="75"/>
      <c r="I238" s="76"/>
      <c r="J238" s="75"/>
      <c r="K238" s="75"/>
      <c r="L238" s="9"/>
      <c r="M238" s="120" t="str">
        <f t="shared" si="35"/>
        <v>Nov-18</v>
      </c>
      <c r="N238" s="120" t="str">
        <f t="shared" si="36"/>
        <v>Jan-00</v>
      </c>
      <c r="O238" s="121" t="s">
        <v>636</v>
      </c>
      <c r="P238" s="122" t="s">
        <v>491</v>
      </c>
      <c r="Q238" s="122">
        <v>3323.69</v>
      </c>
      <c r="R238" s="122">
        <v>-2063.69</v>
      </c>
      <c r="S238" s="95">
        <f t="shared" si="41"/>
        <v>1260</v>
      </c>
      <c r="T238" s="123">
        <f t="shared" si="37"/>
        <v>1386</v>
      </c>
      <c r="U238" s="89"/>
      <c r="V238" s="89"/>
      <c r="W238" s="78">
        <f t="shared" si="38"/>
        <v>0</v>
      </c>
      <c r="X238" s="22">
        <f t="shared" si="39"/>
        <v>1260</v>
      </c>
      <c r="Y238" s="35">
        <f t="shared" si="40"/>
        <v>1</v>
      </c>
      <c r="Z238" s="18"/>
      <c r="AA238" s="18"/>
      <c r="AB238" s="18"/>
      <c r="AC238" s="124" t="s">
        <v>73</v>
      </c>
      <c r="AD238" s="120" t="s">
        <v>47</v>
      </c>
      <c r="AE238" s="120">
        <v>43273</v>
      </c>
      <c r="AF238" s="122"/>
      <c r="AG238" s="120">
        <v>43371</v>
      </c>
      <c r="AH238" s="125">
        <f>AG238-AE238</f>
        <v>98</v>
      </c>
      <c r="AK238" s="27"/>
    </row>
    <row r="239" spans="1:37" s="26" customFormat="1" ht="14.25" customHeight="1" x14ac:dyDescent="0.45">
      <c r="A239" s="28" t="s">
        <v>41</v>
      </c>
      <c r="B239" s="8" t="s">
        <v>336</v>
      </c>
      <c r="C239" s="28" t="s">
        <v>43</v>
      </c>
      <c r="D239" s="9"/>
      <c r="E239" s="9"/>
      <c r="F239" s="10"/>
      <c r="G239" s="10">
        <v>43554</v>
      </c>
      <c r="H239" s="51"/>
      <c r="I239" s="52"/>
      <c r="J239" s="51"/>
      <c r="K239" s="51"/>
      <c r="L239" s="9"/>
      <c r="M239" s="10" t="str">
        <f t="shared" si="35"/>
        <v>Mar-19</v>
      </c>
      <c r="N239" s="10" t="str">
        <f t="shared" si="36"/>
        <v>Jan-00</v>
      </c>
      <c r="O239" s="16" t="s">
        <v>637</v>
      </c>
      <c r="P239" s="18" t="s">
        <v>638</v>
      </c>
      <c r="Q239" s="45">
        <v>4185.8999999999996</v>
      </c>
      <c r="R239" s="45"/>
      <c r="S239" s="45">
        <f t="shared" si="41"/>
        <v>4185.8999999999996</v>
      </c>
      <c r="T239" s="64">
        <f t="shared" si="37"/>
        <v>4604.49</v>
      </c>
      <c r="U239" s="65"/>
      <c r="V239" s="65"/>
      <c r="W239" s="21">
        <f t="shared" si="38"/>
        <v>0</v>
      </c>
      <c r="X239" s="22">
        <f t="shared" si="39"/>
        <v>4185.8999999999996</v>
      </c>
      <c r="Y239" s="35">
        <f t="shared" si="40"/>
        <v>1</v>
      </c>
      <c r="Z239" s="18"/>
      <c r="AA239" s="18"/>
      <c r="AB239" s="18"/>
      <c r="AC239" s="24" t="s">
        <v>73</v>
      </c>
      <c r="AD239" s="10" t="s">
        <v>47</v>
      </c>
      <c r="AE239" s="10">
        <v>43276</v>
      </c>
      <c r="AF239" s="48"/>
      <c r="AG239" s="10">
        <v>43362</v>
      </c>
      <c r="AH239" s="25">
        <f>AG239-AE239</f>
        <v>86</v>
      </c>
      <c r="AK239" s="27"/>
    </row>
    <row r="240" spans="1:37" s="26" customFormat="1" ht="14.25" customHeight="1" x14ac:dyDescent="0.45">
      <c r="A240" s="28" t="s">
        <v>41</v>
      </c>
      <c r="B240" s="8" t="s">
        <v>35</v>
      </c>
      <c r="C240" s="8" t="s">
        <v>36</v>
      </c>
      <c r="D240" s="9" t="s">
        <v>639</v>
      </c>
      <c r="E240" s="9">
        <v>43326</v>
      </c>
      <c r="F240" s="10">
        <v>43304</v>
      </c>
      <c r="G240" s="11">
        <v>43305</v>
      </c>
      <c r="H240" s="67"/>
      <c r="I240" s="68"/>
      <c r="J240" s="14">
        <f>G240+14</f>
        <v>43319</v>
      </c>
      <c r="K240" s="14">
        <v>43326</v>
      </c>
      <c r="L240" s="9"/>
      <c r="M240" s="10" t="str">
        <f t="shared" si="35"/>
        <v>Jul-18</v>
      </c>
      <c r="N240" s="10" t="str">
        <f t="shared" si="36"/>
        <v>Aug-18</v>
      </c>
      <c r="O240" s="16" t="s">
        <v>640</v>
      </c>
      <c r="P240" s="18" t="s">
        <v>623</v>
      </c>
      <c r="Q240" s="45">
        <v>1592.08</v>
      </c>
      <c r="R240" s="73"/>
      <c r="S240" s="45">
        <f t="shared" si="41"/>
        <v>1592.08</v>
      </c>
      <c r="T240" s="64">
        <f t="shared" si="37"/>
        <v>1751.288</v>
      </c>
      <c r="U240" s="65"/>
      <c r="V240" s="65"/>
      <c r="W240" s="21">
        <f t="shared" si="38"/>
        <v>0</v>
      </c>
      <c r="X240" s="22">
        <f t="shared" si="39"/>
        <v>1592.08</v>
      </c>
      <c r="Y240" s="35">
        <f t="shared" si="40"/>
        <v>1</v>
      </c>
      <c r="Z240" s="18"/>
      <c r="AA240" s="18"/>
      <c r="AB240" s="18"/>
      <c r="AC240" s="24" t="s">
        <v>73</v>
      </c>
      <c r="AD240" s="10" t="s">
        <v>47</v>
      </c>
      <c r="AE240" s="10">
        <v>43276</v>
      </c>
      <c r="AF240" s="48"/>
      <c r="AG240" s="10">
        <v>43403</v>
      </c>
      <c r="AH240" s="25">
        <f>AG240-AE240</f>
        <v>127</v>
      </c>
      <c r="AK240" s="27"/>
    </row>
    <row r="241" spans="1:37" s="26" customFormat="1" ht="14.25" customHeight="1" x14ac:dyDescent="0.45">
      <c r="A241" s="8" t="s">
        <v>34</v>
      </c>
      <c r="B241" s="8" t="s">
        <v>336</v>
      </c>
      <c r="C241" s="8" t="s">
        <v>36</v>
      </c>
      <c r="D241" s="9" t="s">
        <v>641</v>
      </c>
      <c r="E241" s="9">
        <v>43360</v>
      </c>
      <c r="F241" s="10">
        <v>43320</v>
      </c>
      <c r="G241" s="11">
        <v>43320</v>
      </c>
      <c r="H241" s="15">
        <v>43326</v>
      </c>
      <c r="I241" s="49">
        <v>43346</v>
      </c>
      <c r="J241" s="14">
        <f>G241+14</f>
        <v>43334</v>
      </c>
      <c r="K241" s="15">
        <f>J241+14</f>
        <v>43348</v>
      </c>
      <c r="L241" s="9"/>
      <c r="M241" s="10" t="str">
        <f t="shared" si="35"/>
        <v>Aug-18</v>
      </c>
      <c r="N241" s="10" t="str">
        <f t="shared" si="36"/>
        <v>Sep-18</v>
      </c>
      <c r="O241" s="16" t="s">
        <v>642</v>
      </c>
      <c r="P241" s="18" t="s">
        <v>643</v>
      </c>
      <c r="Q241" s="45">
        <v>6603.41</v>
      </c>
      <c r="R241" s="45">
        <v>10528.2</v>
      </c>
      <c r="S241" s="45">
        <f t="shared" si="41"/>
        <v>17131.61</v>
      </c>
      <c r="T241" s="64">
        <f t="shared" si="37"/>
        <v>18844.771000000001</v>
      </c>
      <c r="U241" s="34">
        <v>9198.2000000000007</v>
      </c>
      <c r="V241" s="34"/>
      <c r="W241" s="21">
        <f t="shared" si="38"/>
        <v>9198.2000000000007</v>
      </c>
      <c r="X241" s="22">
        <f t="shared" si="39"/>
        <v>7933.41</v>
      </c>
      <c r="Y241" s="35">
        <f t="shared" si="40"/>
        <v>0.46308607305442978</v>
      </c>
      <c r="Z241" s="20"/>
      <c r="AA241" s="11"/>
      <c r="AB241" s="20"/>
      <c r="AC241" s="24" t="s">
        <v>128</v>
      </c>
      <c r="AD241" s="10">
        <v>43255</v>
      </c>
      <c r="AE241" s="10">
        <v>43270</v>
      </c>
      <c r="AF241" s="63">
        <f>AE241-AD241</f>
        <v>15</v>
      </c>
      <c r="AG241" s="10">
        <v>43280</v>
      </c>
      <c r="AH241" s="25">
        <f>AG241-AE241</f>
        <v>10</v>
      </c>
      <c r="AK241" s="27"/>
    </row>
    <row r="242" spans="1:37" s="26" customFormat="1" ht="14.25" customHeight="1" x14ac:dyDescent="0.45">
      <c r="A242" s="28" t="s">
        <v>367</v>
      </c>
      <c r="B242" s="8" t="s">
        <v>297</v>
      </c>
      <c r="C242" s="8" t="s">
        <v>378</v>
      </c>
      <c r="D242" s="9" t="s">
        <v>644</v>
      </c>
      <c r="E242" s="9">
        <v>43511</v>
      </c>
      <c r="F242" s="10">
        <v>43454</v>
      </c>
      <c r="G242" s="10">
        <v>43454</v>
      </c>
      <c r="H242" s="14">
        <v>43475</v>
      </c>
      <c r="I242" s="54">
        <v>39828</v>
      </c>
      <c r="J242" s="15">
        <v>39824</v>
      </c>
      <c r="K242" s="15">
        <v>43511</v>
      </c>
      <c r="L242" s="9"/>
      <c r="M242" s="10" t="str">
        <f t="shared" si="35"/>
        <v>Dec-18</v>
      </c>
      <c r="N242" s="10" t="str">
        <f t="shared" si="36"/>
        <v>Feb-19</v>
      </c>
      <c r="O242" s="97" t="s">
        <v>645</v>
      </c>
      <c r="P242" s="98" t="s">
        <v>646</v>
      </c>
      <c r="Q242" s="99">
        <f>33892.4-Q243</f>
        <v>23724.68</v>
      </c>
      <c r="R242" s="45">
        <v>45166.884999999995</v>
      </c>
      <c r="S242" s="45">
        <f t="shared" si="41"/>
        <v>68891.565000000002</v>
      </c>
      <c r="T242" s="64">
        <f t="shared" si="37"/>
        <v>75780.721500000014</v>
      </c>
      <c r="U242" s="65">
        <v>42821.75</v>
      </c>
      <c r="V242" s="65"/>
      <c r="W242" s="21">
        <f t="shared" si="38"/>
        <v>42821.75</v>
      </c>
      <c r="X242" s="22">
        <f t="shared" si="39"/>
        <v>26069.815000000002</v>
      </c>
      <c r="Y242" s="35">
        <f t="shared" si="40"/>
        <v>0.37841809806469051</v>
      </c>
      <c r="Z242" s="20"/>
      <c r="AA242" s="11"/>
      <c r="AB242" s="20"/>
      <c r="AC242" s="24" t="s">
        <v>371</v>
      </c>
      <c r="AD242" s="10" t="s">
        <v>47</v>
      </c>
      <c r="AE242" s="70"/>
      <c r="AF242" s="71"/>
      <c r="AG242" s="70"/>
      <c r="AH242" s="72"/>
      <c r="AK242" s="27"/>
    </row>
    <row r="243" spans="1:37" s="26" customFormat="1" ht="14.25" customHeight="1" x14ac:dyDescent="0.45">
      <c r="A243" s="28" t="s">
        <v>367</v>
      </c>
      <c r="B243" s="8" t="s">
        <v>297</v>
      </c>
      <c r="C243" s="8" t="s">
        <v>378</v>
      </c>
      <c r="D243" s="9" t="s">
        <v>647</v>
      </c>
      <c r="E243" s="9">
        <v>43334</v>
      </c>
      <c r="F243" s="10">
        <v>43333</v>
      </c>
      <c r="G243" s="10">
        <v>43333</v>
      </c>
      <c r="H243" s="67"/>
      <c r="I243" s="68"/>
      <c r="J243" s="67"/>
      <c r="K243" s="14">
        <v>43335</v>
      </c>
      <c r="L243" s="9"/>
      <c r="M243" s="10" t="str">
        <f t="shared" si="35"/>
        <v>Aug-18</v>
      </c>
      <c r="N243" s="10" t="str">
        <f t="shared" si="36"/>
        <v>Aug-18</v>
      </c>
      <c r="O243" s="97" t="s">
        <v>645</v>
      </c>
      <c r="P243" s="98" t="s">
        <v>646</v>
      </c>
      <c r="Q243" s="99">
        <v>10167.719999999999</v>
      </c>
      <c r="R243" s="73"/>
      <c r="S243" s="45">
        <f t="shared" si="41"/>
        <v>10167.719999999999</v>
      </c>
      <c r="T243" s="64">
        <f t="shared" si="37"/>
        <v>11184.492</v>
      </c>
      <c r="U243" s="100"/>
      <c r="V243" s="100"/>
      <c r="W243" s="21">
        <f t="shared" si="38"/>
        <v>0</v>
      </c>
      <c r="X243" s="22">
        <f t="shared" si="39"/>
        <v>10167.719999999999</v>
      </c>
      <c r="Y243" s="35">
        <f t="shared" si="40"/>
        <v>1</v>
      </c>
      <c r="Z243" s="20"/>
      <c r="AA243" s="11"/>
      <c r="AB243" s="20"/>
      <c r="AC243" s="24" t="s">
        <v>371</v>
      </c>
      <c r="AD243" s="10" t="s">
        <v>47</v>
      </c>
      <c r="AE243" s="70"/>
      <c r="AF243" s="71"/>
      <c r="AG243" s="70"/>
      <c r="AH243" s="72"/>
      <c r="AK243" s="27"/>
    </row>
    <row r="244" spans="1:37" s="26" customFormat="1" ht="14.25" customHeight="1" x14ac:dyDescent="0.45">
      <c r="A244" s="8" t="s">
        <v>34</v>
      </c>
      <c r="B244" s="8" t="s">
        <v>100</v>
      </c>
      <c r="C244" s="8" t="s">
        <v>36</v>
      </c>
      <c r="D244" s="9" t="s">
        <v>648</v>
      </c>
      <c r="E244" s="9">
        <v>43307</v>
      </c>
      <c r="F244" s="10">
        <v>43284</v>
      </c>
      <c r="G244" s="11">
        <v>43286</v>
      </c>
      <c r="H244" s="67"/>
      <c r="I244" s="68"/>
      <c r="J244" s="14">
        <f>G244+14</f>
        <v>43300</v>
      </c>
      <c r="K244" s="14">
        <v>43307</v>
      </c>
      <c r="L244" s="9"/>
      <c r="M244" s="10" t="str">
        <f t="shared" si="35"/>
        <v>Jul-18</v>
      </c>
      <c r="N244" s="10" t="str">
        <f t="shared" si="36"/>
        <v>Jul-18</v>
      </c>
      <c r="O244" s="16" t="s">
        <v>649</v>
      </c>
      <c r="P244" s="18" t="s">
        <v>565</v>
      </c>
      <c r="Q244" s="45">
        <v>2852.73</v>
      </c>
      <c r="R244" s="73"/>
      <c r="S244" s="45">
        <f t="shared" si="41"/>
        <v>2852.73</v>
      </c>
      <c r="T244" s="64">
        <f t="shared" si="37"/>
        <v>3138.0030000000002</v>
      </c>
      <c r="U244" s="65"/>
      <c r="V244" s="65"/>
      <c r="W244" s="21">
        <f t="shared" si="38"/>
        <v>0</v>
      </c>
      <c r="X244" s="22">
        <f t="shared" si="39"/>
        <v>2852.73</v>
      </c>
      <c r="Y244" s="35">
        <f t="shared" si="40"/>
        <v>1</v>
      </c>
      <c r="Z244" s="20"/>
      <c r="AA244" s="11"/>
      <c r="AB244" s="20"/>
      <c r="AC244" s="24" t="s">
        <v>73</v>
      </c>
      <c r="AD244" s="10">
        <v>43277</v>
      </c>
      <c r="AE244" s="10">
        <v>43285</v>
      </c>
      <c r="AF244" s="63">
        <f>AE244-AD244</f>
        <v>8</v>
      </c>
      <c r="AG244" s="10">
        <v>43355</v>
      </c>
      <c r="AH244" s="25">
        <f t="shared" ref="AH244:AH249" si="44">AG244-AE244</f>
        <v>70</v>
      </c>
      <c r="AK244" s="27"/>
    </row>
    <row r="245" spans="1:37" s="26" customFormat="1" ht="14.25" customHeight="1" x14ac:dyDescent="0.45">
      <c r="A245" s="28" t="s">
        <v>41</v>
      </c>
      <c r="B245" s="8" t="s">
        <v>357</v>
      </c>
      <c r="C245" s="8" t="s">
        <v>57</v>
      </c>
      <c r="D245" s="9" t="s">
        <v>650</v>
      </c>
      <c r="E245" s="9">
        <v>43321</v>
      </c>
      <c r="F245" s="10">
        <v>43304</v>
      </c>
      <c r="G245" s="11">
        <v>43304</v>
      </c>
      <c r="H245" s="14">
        <v>43304</v>
      </c>
      <c r="I245" s="54">
        <v>43312</v>
      </c>
      <c r="J245" s="14">
        <f>G245+14</f>
        <v>43318</v>
      </c>
      <c r="K245" s="14">
        <v>43321</v>
      </c>
      <c r="L245" s="9"/>
      <c r="M245" s="10" t="str">
        <f t="shared" si="35"/>
        <v>Jul-18</v>
      </c>
      <c r="N245" s="10" t="str">
        <f t="shared" si="36"/>
        <v>Aug-18</v>
      </c>
      <c r="O245" s="16" t="s">
        <v>651</v>
      </c>
      <c r="P245" s="18" t="s">
        <v>652</v>
      </c>
      <c r="Q245" s="45">
        <v>8900.2199999999993</v>
      </c>
      <c r="R245" s="45">
        <v>4282.4400000000005</v>
      </c>
      <c r="S245" s="45">
        <f t="shared" si="41"/>
        <v>13182.66</v>
      </c>
      <c r="T245" s="64">
        <f t="shared" si="37"/>
        <v>14500.926000000001</v>
      </c>
      <c r="U245" s="65"/>
      <c r="V245" s="65"/>
      <c r="W245" s="21">
        <f t="shared" si="38"/>
        <v>0</v>
      </c>
      <c r="X245" s="22">
        <f t="shared" si="39"/>
        <v>13182.66</v>
      </c>
      <c r="Y245" s="35">
        <f t="shared" si="40"/>
        <v>1</v>
      </c>
      <c r="Z245" s="20"/>
      <c r="AA245" s="11"/>
      <c r="AB245" s="20"/>
      <c r="AC245" s="24" t="s">
        <v>73</v>
      </c>
      <c r="AD245" s="10" t="s">
        <v>47</v>
      </c>
      <c r="AE245" s="10">
        <v>43279</v>
      </c>
      <c r="AF245" s="48"/>
      <c r="AG245" s="10">
        <v>43371</v>
      </c>
      <c r="AH245" s="25">
        <f t="shared" si="44"/>
        <v>92</v>
      </c>
      <c r="AK245" s="27"/>
    </row>
    <row r="246" spans="1:37" s="26" customFormat="1" ht="14.25" customHeight="1" x14ac:dyDescent="0.45">
      <c r="A246" s="28" t="s">
        <v>41</v>
      </c>
      <c r="B246" s="8" t="s">
        <v>35</v>
      </c>
      <c r="C246" s="8" t="s">
        <v>36</v>
      </c>
      <c r="D246" s="9" t="s">
        <v>653</v>
      </c>
      <c r="E246" s="9">
        <v>43321</v>
      </c>
      <c r="F246" s="10">
        <v>43287</v>
      </c>
      <c r="G246" s="11">
        <v>43287</v>
      </c>
      <c r="H246" s="15">
        <v>43291</v>
      </c>
      <c r="I246" s="49">
        <v>43311</v>
      </c>
      <c r="J246" s="14">
        <f>G246+14</f>
        <v>43301</v>
      </c>
      <c r="K246" s="14">
        <v>43321</v>
      </c>
      <c r="L246" s="9"/>
      <c r="M246" s="10" t="str">
        <f t="shared" si="35"/>
        <v>Jul-18</v>
      </c>
      <c r="N246" s="10" t="str">
        <f t="shared" si="36"/>
        <v>Aug-18</v>
      </c>
      <c r="O246" s="16" t="s">
        <v>654</v>
      </c>
      <c r="P246" s="18" t="s">
        <v>562</v>
      </c>
      <c r="Q246" s="45">
        <v>3154.72</v>
      </c>
      <c r="R246" s="45">
        <v>4773.34</v>
      </c>
      <c r="S246" s="45">
        <f t="shared" si="41"/>
        <v>7928.0599999999995</v>
      </c>
      <c r="T246" s="64">
        <f t="shared" si="37"/>
        <v>8720.866</v>
      </c>
      <c r="U246" s="65">
        <v>2498.5</v>
      </c>
      <c r="V246" s="65"/>
      <c r="W246" s="21">
        <f t="shared" si="38"/>
        <v>2498.5</v>
      </c>
      <c r="X246" s="22">
        <f t="shared" si="39"/>
        <v>5429.5599999999995</v>
      </c>
      <c r="Y246" s="35">
        <f t="shared" si="40"/>
        <v>0.6848535455079805</v>
      </c>
      <c r="Z246" s="20"/>
      <c r="AA246" s="11"/>
      <c r="AB246" s="20"/>
      <c r="AC246" s="24" t="s">
        <v>73</v>
      </c>
      <c r="AD246" s="10" t="s">
        <v>47</v>
      </c>
      <c r="AE246" s="10">
        <v>43279</v>
      </c>
      <c r="AF246" s="48"/>
      <c r="AG246" s="10">
        <v>43371</v>
      </c>
      <c r="AH246" s="25">
        <f t="shared" si="44"/>
        <v>92</v>
      </c>
      <c r="AK246" s="27"/>
    </row>
    <row r="247" spans="1:37" s="26" customFormat="1" ht="14.25" customHeight="1" x14ac:dyDescent="0.45">
      <c r="A247" s="28" t="s">
        <v>41</v>
      </c>
      <c r="B247" s="8" t="s">
        <v>357</v>
      </c>
      <c r="C247" s="8" t="s">
        <v>57</v>
      </c>
      <c r="D247" s="9"/>
      <c r="E247" s="9"/>
      <c r="F247" s="10">
        <v>43361</v>
      </c>
      <c r="G247" s="11">
        <v>43373</v>
      </c>
      <c r="H247" s="15">
        <v>43361</v>
      </c>
      <c r="I247" s="49">
        <v>43399</v>
      </c>
      <c r="J247" s="14">
        <f>G247+14</f>
        <v>43387</v>
      </c>
      <c r="K247" s="15">
        <v>43410</v>
      </c>
      <c r="L247" s="9"/>
      <c r="M247" s="10" t="str">
        <f t="shared" si="35"/>
        <v>Sep-18</v>
      </c>
      <c r="N247" s="10" t="str">
        <f t="shared" si="36"/>
        <v>Nov-18</v>
      </c>
      <c r="O247" s="17" t="s">
        <v>655</v>
      </c>
      <c r="P247" s="33" t="s">
        <v>656</v>
      </c>
      <c r="Q247" s="45">
        <v>4429.1499999999996</v>
      </c>
      <c r="R247" s="45">
        <v>1301.24</v>
      </c>
      <c r="S247" s="45">
        <f t="shared" si="41"/>
        <v>5730.3899999999994</v>
      </c>
      <c r="T247" s="64">
        <f t="shared" si="37"/>
        <v>6303.4290000000001</v>
      </c>
      <c r="U247" s="65"/>
      <c r="V247" s="65"/>
      <c r="W247" s="21">
        <f t="shared" si="38"/>
        <v>0</v>
      </c>
      <c r="X247" s="22">
        <f t="shared" si="39"/>
        <v>5730.3899999999994</v>
      </c>
      <c r="Y247" s="35">
        <f t="shared" si="40"/>
        <v>1</v>
      </c>
      <c r="Z247" s="20"/>
      <c r="AA247" s="11"/>
      <c r="AB247" s="20"/>
      <c r="AC247" s="24" t="s">
        <v>73</v>
      </c>
      <c r="AD247" s="10" t="s">
        <v>47</v>
      </c>
      <c r="AE247" s="10">
        <v>43354</v>
      </c>
      <c r="AF247" s="48"/>
      <c r="AG247" s="10">
        <v>43404</v>
      </c>
      <c r="AH247" s="25">
        <f t="shared" si="44"/>
        <v>50</v>
      </c>
      <c r="AK247" s="27"/>
    </row>
    <row r="248" spans="1:37" s="26" customFormat="1" ht="14.25" customHeight="1" x14ac:dyDescent="0.45">
      <c r="A248" s="28" t="s">
        <v>41</v>
      </c>
      <c r="B248" s="8" t="s">
        <v>35</v>
      </c>
      <c r="C248" s="8" t="s">
        <v>36</v>
      </c>
      <c r="D248" s="9" t="s">
        <v>657</v>
      </c>
      <c r="E248" s="9">
        <v>43433</v>
      </c>
      <c r="F248" s="10">
        <v>43390</v>
      </c>
      <c r="G248" s="11">
        <v>43390</v>
      </c>
      <c r="H248" s="15">
        <v>43390</v>
      </c>
      <c r="I248" s="49">
        <v>43418</v>
      </c>
      <c r="J248" s="14">
        <v>43403</v>
      </c>
      <c r="K248" s="15">
        <v>43433</v>
      </c>
      <c r="L248" s="9"/>
      <c r="M248" s="10" t="str">
        <f t="shared" si="35"/>
        <v>Oct-18</v>
      </c>
      <c r="N248" s="10" t="str">
        <f t="shared" si="36"/>
        <v>Nov-18</v>
      </c>
      <c r="O248" s="17" t="s">
        <v>658</v>
      </c>
      <c r="P248" s="33" t="s">
        <v>168</v>
      </c>
      <c r="Q248" s="45">
        <v>616.6</v>
      </c>
      <c r="R248" s="45">
        <v>857.91</v>
      </c>
      <c r="S248" s="45">
        <f t="shared" si="41"/>
        <v>1474.51</v>
      </c>
      <c r="T248" s="64">
        <f t="shared" si="37"/>
        <v>1621.961</v>
      </c>
      <c r="U248" s="65"/>
      <c r="V248" s="65"/>
      <c r="W248" s="21">
        <f t="shared" si="38"/>
        <v>0</v>
      </c>
      <c r="X248" s="22">
        <f t="shared" si="39"/>
        <v>1474.51</v>
      </c>
      <c r="Y248" s="35">
        <f t="shared" si="40"/>
        <v>1</v>
      </c>
      <c r="Z248" s="20"/>
      <c r="AA248" s="11"/>
      <c r="AB248" s="20"/>
      <c r="AC248" s="24" t="s">
        <v>73</v>
      </c>
      <c r="AD248" s="10" t="s">
        <v>47</v>
      </c>
      <c r="AE248" s="10">
        <v>43361</v>
      </c>
      <c r="AF248" s="48"/>
      <c r="AG248" s="10">
        <v>43434</v>
      </c>
      <c r="AH248" s="25">
        <f t="shared" si="44"/>
        <v>73</v>
      </c>
      <c r="AK248" s="27"/>
    </row>
    <row r="249" spans="1:37" s="26" customFormat="1" ht="14.25" customHeight="1" x14ac:dyDescent="0.45">
      <c r="A249" s="8" t="s">
        <v>34</v>
      </c>
      <c r="B249" s="8" t="s">
        <v>100</v>
      </c>
      <c r="C249" s="8" t="s">
        <v>57</v>
      </c>
      <c r="D249" s="9" t="s">
        <v>659</v>
      </c>
      <c r="E249" s="9">
        <v>43308</v>
      </c>
      <c r="F249" s="10">
        <v>43286</v>
      </c>
      <c r="G249" s="11">
        <v>43286</v>
      </c>
      <c r="H249" s="14">
        <v>43291</v>
      </c>
      <c r="I249" s="54">
        <v>43299</v>
      </c>
      <c r="J249" s="14">
        <f>G249+14</f>
        <v>43300</v>
      </c>
      <c r="K249" s="14">
        <v>43312</v>
      </c>
      <c r="L249" s="9"/>
      <c r="M249" s="10" t="str">
        <f t="shared" si="35"/>
        <v>Jul-18</v>
      </c>
      <c r="N249" s="10" t="str">
        <f t="shared" si="36"/>
        <v>Jul-18</v>
      </c>
      <c r="O249" s="16" t="s">
        <v>660</v>
      </c>
      <c r="P249" s="18" t="s">
        <v>661</v>
      </c>
      <c r="Q249" s="45">
        <v>9249</v>
      </c>
      <c r="R249" s="45">
        <v>5339.41</v>
      </c>
      <c r="S249" s="45">
        <f t="shared" si="41"/>
        <v>14588.41</v>
      </c>
      <c r="T249" s="64">
        <f t="shared" si="37"/>
        <v>16047.251000000002</v>
      </c>
      <c r="U249" s="65"/>
      <c r="V249" s="65"/>
      <c r="W249" s="21">
        <f t="shared" si="38"/>
        <v>0</v>
      </c>
      <c r="X249" s="22">
        <f t="shared" si="39"/>
        <v>14588.41</v>
      </c>
      <c r="Y249" s="35">
        <f t="shared" si="40"/>
        <v>1</v>
      </c>
      <c r="Z249" s="20"/>
      <c r="AA249" s="11"/>
      <c r="AB249" s="20"/>
      <c r="AC249" s="24" t="s">
        <v>128</v>
      </c>
      <c r="AD249" s="10">
        <v>43251</v>
      </c>
      <c r="AE249" s="10">
        <v>43264</v>
      </c>
      <c r="AF249" s="63">
        <f>AE249-AD249</f>
        <v>13</v>
      </c>
      <c r="AG249" s="10">
        <v>43280</v>
      </c>
      <c r="AH249" s="25">
        <f t="shared" si="44"/>
        <v>16</v>
      </c>
      <c r="AK249" s="27"/>
    </row>
    <row r="250" spans="1:37" s="26" customFormat="1" ht="14.25" customHeight="1" x14ac:dyDescent="0.45">
      <c r="A250" s="28" t="s">
        <v>247</v>
      </c>
      <c r="B250" s="8" t="s">
        <v>116</v>
      </c>
      <c r="C250" s="8" t="s">
        <v>51</v>
      </c>
      <c r="D250" s="9" t="s">
        <v>662</v>
      </c>
      <c r="E250" s="11">
        <v>43284</v>
      </c>
      <c r="F250" s="11">
        <v>43284</v>
      </c>
      <c r="G250" s="11">
        <v>43284</v>
      </c>
      <c r="H250" s="67"/>
      <c r="I250" s="68"/>
      <c r="J250" s="68"/>
      <c r="K250" s="14">
        <v>43305</v>
      </c>
      <c r="L250" s="9"/>
      <c r="M250" s="10" t="str">
        <f t="shared" si="35"/>
        <v>Jul-18</v>
      </c>
      <c r="N250" s="10" t="str">
        <f t="shared" si="36"/>
        <v>Jul-18</v>
      </c>
      <c r="O250" s="16" t="s">
        <v>663</v>
      </c>
      <c r="P250" s="18" t="s">
        <v>250</v>
      </c>
      <c r="Q250" s="45">
        <v>2434.66</v>
      </c>
      <c r="R250" s="67"/>
      <c r="S250" s="45">
        <f t="shared" si="41"/>
        <v>2434.66</v>
      </c>
      <c r="T250" s="64">
        <f t="shared" si="37"/>
        <v>2678.1260000000002</v>
      </c>
      <c r="U250" s="65"/>
      <c r="V250" s="65">
        <f>18*56</f>
        <v>1008</v>
      </c>
      <c r="W250" s="21">
        <f t="shared" si="38"/>
        <v>1008</v>
      </c>
      <c r="X250" s="22">
        <f t="shared" si="39"/>
        <v>1426.6599999999999</v>
      </c>
      <c r="Y250" s="35">
        <f t="shared" si="40"/>
        <v>0.58597915109296572</v>
      </c>
      <c r="Z250" s="20"/>
      <c r="AA250" s="11">
        <f t="shared" ref="AA250:AA270" si="45">G250+14</f>
        <v>43298</v>
      </c>
      <c r="AB250" s="20"/>
      <c r="AC250" s="24" t="s">
        <v>121</v>
      </c>
      <c r="AD250" s="70"/>
      <c r="AE250" s="70"/>
      <c r="AF250" s="71"/>
      <c r="AG250" s="70"/>
      <c r="AH250" s="72"/>
      <c r="AK250" s="27"/>
    </row>
    <row r="251" spans="1:37" s="26" customFormat="1" ht="14.25" customHeight="1" x14ac:dyDescent="0.45">
      <c r="A251" s="28" t="s">
        <v>247</v>
      </c>
      <c r="B251" s="8" t="s">
        <v>116</v>
      </c>
      <c r="C251" s="8" t="s">
        <v>51</v>
      </c>
      <c r="D251" s="9" t="s">
        <v>664</v>
      </c>
      <c r="E251" s="11">
        <v>43284</v>
      </c>
      <c r="F251" s="11">
        <v>43284</v>
      </c>
      <c r="G251" s="11">
        <v>43284</v>
      </c>
      <c r="H251" s="67"/>
      <c r="I251" s="68"/>
      <c r="J251" s="68"/>
      <c r="K251" s="14">
        <v>43298</v>
      </c>
      <c r="L251" s="9"/>
      <c r="M251" s="10" t="str">
        <f t="shared" si="35"/>
        <v>Jul-18</v>
      </c>
      <c r="N251" s="10" t="str">
        <f t="shared" si="36"/>
        <v>Jul-18</v>
      </c>
      <c r="O251" s="16" t="s">
        <v>665</v>
      </c>
      <c r="P251" s="18" t="s">
        <v>666</v>
      </c>
      <c r="Q251" s="45">
        <v>1537.6799999999998</v>
      </c>
      <c r="R251" s="67"/>
      <c r="S251" s="45">
        <f t="shared" si="41"/>
        <v>1537.6799999999998</v>
      </c>
      <c r="T251" s="64">
        <f t="shared" si="37"/>
        <v>1691.4479999999999</v>
      </c>
      <c r="U251" s="65"/>
      <c r="V251" s="65">
        <f>10*56</f>
        <v>560</v>
      </c>
      <c r="W251" s="21">
        <f t="shared" si="38"/>
        <v>560</v>
      </c>
      <c r="X251" s="22">
        <f t="shared" si="39"/>
        <v>977.67999999999984</v>
      </c>
      <c r="Y251" s="35">
        <f t="shared" si="40"/>
        <v>0.63581499401696062</v>
      </c>
      <c r="Z251" s="20"/>
      <c r="AA251" s="11">
        <f t="shared" si="45"/>
        <v>43298</v>
      </c>
      <c r="AB251" s="20"/>
      <c r="AC251" s="24" t="s">
        <v>121</v>
      </c>
      <c r="AD251" s="70"/>
      <c r="AE251" s="70"/>
      <c r="AF251" s="71"/>
      <c r="AG251" s="70"/>
      <c r="AH251" s="72"/>
      <c r="AK251" s="27"/>
    </row>
    <row r="252" spans="1:37" s="26" customFormat="1" ht="14.25" customHeight="1" x14ac:dyDescent="0.45">
      <c r="A252" s="28" t="s">
        <v>115</v>
      </c>
      <c r="B252" s="8" t="s">
        <v>116</v>
      </c>
      <c r="C252" s="8" t="s">
        <v>117</v>
      </c>
      <c r="D252" s="9" t="s">
        <v>667</v>
      </c>
      <c r="E252" s="11">
        <v>43284</v>
      </c>
      <c r="F252" s="11">
        <v>43284</v>
      </c>
      <c r="G252" s="11">
        <v>43284</v>
      </c>
      <c r="H252" s="67"/>
      <c r="I252" s="68"/>
      <c r="J252" s="68"/>
      <c r="K252" s="15">
        <v>43328</v>
      </c>
      <c r="L252" s="9"/>
      <c r="M252" s="10" t="str">
        <f t="shared" si="35"/>
        <v>Jul-18</v>
      </c>
      <c r="N252" s="10" t="str">
        <f t="shared" si="36"/>
        <v>Aug-18</v>
      </c>
      <c r="O252" s="16" t="s">
        <v>668</v>
      </c>
      <c r="P252" s="18" t="s">
        <v>132</v>
      </c>
      <c r="Q252" s="45">
        <v>1819.54</v>
      </c>
      <c r="R252" s="67"/>
      <c r="S252" s="45">
        <f t="shared" si="41"/>
        <v>1819.54</v>
      </c>
      <c r="T252" s="64">
        <f t="shared" si="37"/>
        <v>2001.4940000000001</v>
      </c>
      <c r="U252" s="65"/>
      <c r="V252" s="65">
        <f>11*56+360</f>
        <v>976</v>
      </c>
      <c r="W252" s="21">
        <f>9*56</f>
        <v>504</v>
      </c>
      <c r="X252" s="22">
        <f t="shared" si="39"/>
        <v>1315.54</v>
      </c>
      <c r="Y252" s="35">
        <f t="shared" si="40"/>
        <v>0.72300691383536497</v>
      </c>
      <c r="Z252" s="20"/>
      <c r="AA252" s="11">
        <f t="shared" si="45"/>
        <v>43298</v>
      </c>
      <c r="AB252" s="20"/>
      <c r="AC252" s="24" t="s">
        <v>121</v>
      </c>
      <c r="AD252" s="70"/>
      <c r="AE252" s="70"/>
      <c r="AF252" s="71"/>
      <c r="AG252" s="70"/>
      <c r="AH252" s="72"/>
      <c r="AK252" s="27"/>
    </row>
    <row r="253" spans="1:37" s="26" customFormat="1" ht="14.25" customHeight="1" x14ac:dyDescent="0.45">
      <c r="A253" s="28" t="s">
        <v>115</v>
      </c>
      <c r="B253" s="8" t="s">
        <v>116</v>
      </c>
      <c r="C253" s="8" t="s">
        <v>117</v>
      </c>
      <c r="D253" s="9" t="s">
        <v>669</v>
      </c>
      <c r="E253" s="11">
        <v>43284</v>
      </c>
      <c r="F253" s="11">
        <v>43284</v>
      </c>
      <c r="G253" s="11">
        <v>43284</v>
      </c>
      <c r="H253" s="67"/>
      <c r="I253" s="68"/>
      <c r="J253" s="68"/>
      <c r="K253" s="12">
        <v>43298</v>
      </c>
      <c r="L253" s="9"/>
      <c r="M253" s="10" t="str">
        <f t="shared" si="35"/>
        <v>Jul-18</v>
      </c>
      <c r="N253" s="10" t="str">
        <f t="shared" si="36"/>
        <v>Jul-18</v>
      </c>
      <c r="O253" s="16" t="s">
        <v>670</v>
      </c>
      <c r="P253" s="18" t="s">
        <v>253</v>
      </c>
      <c r="Q253" s="45">
        <v>768.84</v>
      </c>
      <c r="R253" s="67"/>
      <c r="S253" s="45">
        <f t="shared" si="41"/>
        <v>768.84</v>
      </c>
      <c r="T253" s="64">
        <f t="shared" si="37"/>
        <v>845.72400000000016</v>
      </c>
      <c r="U253" s="65"/>
      <c r="V253" s="65">
        <f>4*56</f>
        <v>224</v>
      </c>
      <c r="W253" s="21">
        <f t="shared" ref="W253:W260" si="46">SUM(U253:V253)</f>
        <v>224</v>
      </c>
      <c r="X253" s="22">
        <f t="shared" si="39"/>
        <v>544.84</v>
      </c>
      <c r="Y253" s="35">
        <f t="shared" si="40"/>
        <v>0.70865199521356848</v>
      </c>
      <c r="Z253" s="20"/>
      <c r="AA253" s="11">
        <f t="shared" si="45"/>
        <v>43298</v>
      </c>
      <c r="AB253" s="20"/>
      <c r="AC253" s="24" t="s">
        <v>121</v>
      </c>
      <c r="AD253" s="70"/>
      <c r="AE253" s="70"/>
      <c r="AF253" s="71"/>
      <c r="AG253" s="70"/>
      <c r="AH253" s="72"/>
      <c r="AK253" s="27"/>
    </row>
    <row r="254" spans="1:37" s="26" customFormat="1" ht="14.25" customHeight="1" x14ac:dyDescent="0.45">
      <c r="A254" s="28" t="s">
        <v>115</v>
      </c>
      <c r="B254" s="8" t="s">
        <v>116</v>
      </c>
      <c r="C254" s="8" t="s">
        <v>117</v>
      </c>
      <c r="D254" s="9" t="s">
        <v>671</v>
      </c>
      <c r="E254" s="11">
        <v>43284</v>
      </c>
      <c r="F254" s="11">
        <v>43284</v>
      </c>
      <c r="G254" s="11">
        <v>43284</v>
      </c>
      <c r="H254" s="67"/>
      <c r="I254" s="68"/>
      <c r="J254" s="68"/>
      <c r="K254" s="15">
        <v>43319</v>
      </c>
      <c r="L254" s="9"/>
      <c r="M254" s="10" t="str">
        <f t="shared" si="35"/>
        <v>Jul-18</v>
      </c>
      <c r="N254" s="10" t="str">
        <f t="shared" si="36"/>
        <v>Aug-18</v>
      </c>
      <c r="O254" s="16" t="s">
        <v>672</v>
      </c>
      <c r="P254" s="18" t="s">
        <v>673</v>
      </c>
      <c r="Q254" s="45">
        <v>961.05</v>
      </c>
      <c r="R254" s="67"/>
      <c r="S254" s="45">
        <f t="shared" si="41"/>
        <v>961.05</v>
      </c>
      <c r="T254" s="64">
        <f t="shared" si="37"/>
        <v>1057.155</v>
      </c>
      <c r="U254" s="65"/>
      <c r="V254" s="65">
        <f>5.5*56</f>
        <v>308</v>
      </c>
      <c r="W254" s="21">
        <f t="shared" si="46"/>
        <v>308</v>
      </c>
      <c r="X254" s="22">
        <f t="shared" si="39"/>
        <v>653.04999999999995</v>
      </c>
      <c r="Y254" s="35">
        <f t="shared" si="40"/>
        <v>0.67951719473492533</v>
      </c>
      <c r="Z254" s="20"/>
      <c r="AA254" s="11">
        <f t="shared" si="45"/>
        <v>43298</v>
      </c>
      <c r="AB254" s="20"/>
      <c r="AC254" s="24" t="s">
        <v>121</v>
      </c>
      <c r="AD254" s="70"/>
      <c r="AE254" s="70"/>
      <c r="AF254" s="71"/>
      <c r="AG254" s="70"/>
      <c r="AH254" s="72"/>
      <c r="AK254" s="27"/>
    </row>
    <row r="255" spans="1:37" s="26" customFormat="1" ht="14.25" customHeight="1" x14ac:dyDescent="0.45">
      <c r="A255" s="28" t="s">
        <v>115</v>
      </c>
      <c r="B255" s="8" t="s">
        <v>116</v>
      </c>
      <c r="C255" s="8" t="s">
        <v>117</v>
      </c>
      <c r="D255" s="9" t="s">
        <v>674</v>
      </c>
      <c r="E255" s="11">
        <v>43284</v>
      </c>
      <c r="F255" s="11">
        <v>43284</v>
      </c>
      <c r="G255" s="11">
        <v>43284</v>
      </c>
      <c r="H255" s="67"/>
      <c r="I255" s="68"/>
      <c r="J255" s="68"/>
      <c r="K255" s="15">
        <v>43300</v>
      </c>
      <c r="L255" s="9"/>
      <c r="M255" s="10" t="str">
        <f t="shared" si="35"/>
        <v>Jul-18</v>
      </c>
      <c r="N255" s="10" t="str">
        <f t="shared" si="36"/>
        <v>Jul-18</v>
      </c>
      <c r="O255" s="16" t="s">
        <v>675</v>
      </c>
      <c r="P255" s="18" t="s">
        <v>120</v>
      </c>
      <c r="Q255" s="45">
        <v>962.81299999999999</v>
      </c>
      <c r="R255" s="67"/>
      <c r="S255" s="45">
        <f t="shared" si="41"/>
        <v>962.81299999999999</v>
      </c>
      <c r="T255" s="64">
        <f t="shared" si="37"/>
        <v>1059.0943</v>
      </c>
      <c r="U255" s="65"/>
      <c r="V255" s="65">
        <f>3*56</f>
        <v>168</v>
      </c>
      <c r="W255" s="21">
        <f t="shared" si="46"/>
        <v>168</v>
      </c>
      <c r="X255" s="22">
        <f t="shared" si="39"/>
        <v>794.81299999999999</v>
      </c>
      <c r="Y255" s="35">
        <f t="shared" si="40"/>
        <v>0.8255112882771628</v>
      </c>
      <c r="Z255" s="20"/>
      <c r="AA255" s="11">
        <f t="shared" si="45"/>
        <v>43298</v>
      </c>
      <c r="AB255" s="20"/>
      <c r="AC255" s="24" t="s">
        <v>121</v>
      </c>
      <c r="AD255" s="70"/>
      <c r="AE255" s="70"/>
      <c r="AF255" s="71"/>
      <c r="AG255" s="70"/>
      <c r="AH255" s="72"/>
      <c r="AK255" s="27"/>
    </row>
    <row r="256" spans="1:37" s="26" customFormat="1" ht="14.25" customHeight="1" x14ac:dyDescent="0.45">
      <c r="A256" s="28" t="s">
        <v>115</v>
      </c>
      <c r="B256" s="8" t="s">
        <v>116</v>
      </c>
      <c r="C256" s="8" t="s">
        <v>117</v>
      </c>
      <c r="D256" s="9" t="s">
        <v>676</v>
      </c>
      <c r="E256" s="11">
        <v>43284</v>
      </c>
      <c r="F256" s="11">
        <v>43284</v>
      </c>
      <c r="G256" s="11">
        <v>43284</v>
      </c>
      <c r="H256" s="67"/>
      <c r="I256" s="68"/>
      <c r="J256" s="68"/>
      <c r="K256" s="15">
        <v>43300</v>
      </c>
      <c r="L256" s="9"/>
      <c r="M256" s="10" t="str">
        <f t="shared" si="35"/>
        <v>Jul-18</v>
      </c>
      <c r="N256" s="10" t="str">
        <f t="shared" si="36"/>
        <v>Jul-18</v>
      </c>
      <c r="O256" s="16" t="s">
        <v>677</v>
      </c>
      <c r="P256" s="18" t="s">
        <v>673</v>
      </c>
      <c r="Q256" s="45">
        <v>962.81299999999999</v>
      </c>
      <c r="R256" s="67"/>
      <c r="S256" s="45">
        <f t="shared" si="41"/>
        <v>962.81299999999999</v>
      </c>
      <c r="T256" s="64">
        <f t="shared" si="37"/>
        <v>1059.0943</v>
      </c>
      <c r="U256" s="65"/>
      <c r="V256" s="65">
        <f>2*56</f>
        <v>112</v>
      </c>
      <c r="W256" s="21">
        <f t="shared" si="46"/>
        <v>112</v>
      </c>
      <c r="X256" s="22">
        <f t="shared" si="39"/>
        <v>850.81299999999999</v>
      </c>
      <c r="Y256" s="35">
        <f t="shared" si="40"/>
        <v>0.88367419218477528</v>
      </c>
      <c r="Z256" s="20"/>
      <c r="AA256" s="11">
        <f t="shared" si="45"/>
        <v>43298</v>
      </c>
      <c r="AB256" s="20"/>
      <c r="AC256" s="24" t="s">
        <v>121</v>
      </c>
      <c r="AD256" s="70"/>
      <c r="AE256" s="70"/>
      <c r="AF256" s="71"/>
      <c r="AG256" s="70"/>
      <c r="AH256" s="72"/>
      <c r="AK256" s="27"/>
    </row>
    <row r="257" spans="1:37" s="26" customFormat="1" ht="14.25" customHeight="1" x14ac:dyDescent="0.45">
      <c r="A257" s="28" t="s">
        <v>115</v>
      </c>
      <c r="B257" s="8" t="s">
        <v>116</v>
      </c>
      <c r="C257" s="8" t="s">
        <v>117</v>
      </c>
      <c r="D257" s="9" t="s">
        <v>678</v>
      </c>
      <c r="E257" s="11">
        <v>43284</v>
      </c>
      <c r="F257" s="11">
        <v>43284</v>
      </c>
      <c r="G257" s="11">
        <v>43284</v>
      </c>
      <c r="H257" s="67"/>
      <c r="I257" s="68"/>
      <c r="J257" s="68"/>
      <c r="K257" s="62">
        <v>43300</v>
      </c>
      <c r="L257" s="9"/>
      <c r="M257" s="10" t="str">
        <f t="shared" si="35"/>
        <v>Jul-18</v>
      </c>
      <c r="N257" s="10" t="str">
        <f t="shared" si="36"/>
        <v>Jul-18</v>
      </c>
      <c r="O257" s="16" t="s">
        <v>679</v>
      </c>
      <c r="P257" s="18" t="s">
        <v>680</v>
      </c>
      <c r="Q257" s="45">
        <v>2947.22</v>
      </c>
      <c r="R257" s="67"/>
      <c r="S257" s="45">
        <f t="shared" si="41"/>
        <v>2947.22</v>
      </c>
      <c r="T257" s="64">
        <f t="shared" si="37"/>
        <v>3241.942</v>
      </c>
      <c r="U257" s="65"/>
      <c r="V257" s="65">
        <f>21*56+50</f>
        <v>1226</v>
      </c>
      <c r="W257" s="21">
        <f t="shared" si="46"/>
        <v>1226</v>
      </c>
      <c r="X257" s="22">
        <f t="shared" si="39"/>
        <v>1721.2199999999998</v>
      </c>
      <c r="Y257" s="35">
        <f t="shared" si="40"/>
        <v>0.58401476645788231</v>
      </c>
      <c r="Z257" s="20"/>
      <c r="AA257" s="11">
        <f t="shared" si="45"/>
        <v>43298</v>
      </c>
      <c r="AB257" s="20"/>
      <c r="AC257" s="24" t="s">
        <v>121</v>
      </c>
      <c r="AD257" s="70"/>
      <c r="AE257" s="70"/>
      <c r="AF257" s="71"/>
      <c r="AG257" s="70"/>
      <c r="AH257" s="72"/>
      <c r="AK257" s="27"/>
    </row>
    <row r="258" spans="1:37" s="26" customFormat="1" ht="14.25" customHeight="1" x14ac:dyDescent="0.45">
      <c r="A258" s="28" t="s">
        <v>115</v>
      </c>
      <c r="B258" s="8" t="s">
        <v>116</v>
      </c>
      <c r="C258" s="8" t="s">
        <v>117</v>
      </c>
      <c r="D258" s="9" t="s">
        <v>681</v>
      </c>
      <c r="E258" s="9">
        <v>43284</v>
      </c>
      <c r="F258" s="11">
        <v>43284</v>
      </c>
      <c r="G258" s="11">
        <v>43284</v>
      </c>
      <c r="H258" s="67"/>
      <c r="I258" s="68"/>
      <c r="J258" s="68"/>
      <c r="K258" s="14">
        <v>43298</v>
      </c>
      <c r="L258" s="9"/>
      <c r="M258" s="10" t="str">
        <f t="shared" ref="M258:M321" si="47">TEXT(G258,"mmm-yy")</f>
        <v>Jul-18</v>
      </c>
      <c r="N258" s="10" t="str">
        <f t="shared" ref="N258:N321" si="48">TEXT(K258,"mmm-yy")</f>
        <v>Jul-18</v>
      </c>
      <c r="O258" s="16" t="s">
        <v>682</v>
      </c>
      <c r="P258" s="18" t="s">
        <v>508</v>
      </c>
      <c r="Q258" s="45">
        <v>3655.39</v>
      </c>
      <c r="R258" s="67"/>
      <c r="S258" s="45">
        <f t="shared" si="41"/>
        <v>3655.39</v>
      </c>
      <c r="T258" s="64">
        <f t="shared" ref="T258:T321" si="49">S258*1.1</f>
        <v>4020.9290000000001</v>
      </c>
      <c r="U258" s="65"/>
      <c r="V258" s="65">
        <f>27.5*56+150</f>
        <v>1690</v>
      </c>
      <c r="W258" s="21">
        <f t="shared" si="46"/>
        <v>1690</v>
      </c>
      <c r="X258" s="22">
        <f t="shared" ref="X258:X321" si="50">S258-W258</f>
        <v>1965.3899999999999</v>
      </c>
      <c r="Y258" s="35">
        <f t="shared" ref="Y258:Y321" si="51">X258/S258</f>
        <v>0.53766903121144394</v>
      </c>
      <c r="Z258" s="20"/>
      <c r="AA258" s="11">
        <f t="shared" si="45"/>
        <v>43298</v>
      </c>
      <c r="AB258" s="20"/>
      <c r="AC258" s="24" t="s">
        <v>121</v>
      </c>
      <c r="AD258" s="70"/>
      <c r="AE258" s="70"/>
      <c r="AF258" s="71"/>
      <c r="AG258" s="70"/>
      <c r="AH258" s="72"/>
      <c r="AK258" s="27"/>
    </row>
    <row r="259" spans="1:37" s="26" customFormat="1" ht="14.25" customHeight="1" x14ac:dyDescent="0.45">
      <c r="A259" s="28" t="s">
        <v>247</v>
      </c>
      <c r="B259" s="8" t="s">
        <v>116</v>
      </c>
      <c r="C259" s="8" t="s">
        <v>51</v>
      </c>
      <c r="D259" s="9" t="s">
        <v>683</v>
      </c>
      <c r="E259" s="9">
        <v>43284</v>
      </c>
      <c r="F259" s="11">
        <v>43284</v>
      </c>
      <c r="G259" s="11">
        <v>43284</v>
      </c>
      <c r="H259" s="67"/>
      <c r="I259" s="68"/>
      <c r="J259" s="68"/>
      <c r="K259" s="15">
        <v>43328</v>
      </c>
      <c r="L259" s="9"/>
      <c r="M259" s="10" t="str">
        <f t="shared" si="47"/>
        <v>Jul-18</v>
      </c>
      <c r="N259" s="10" t="str">
        <f t="shared" si="48"/>
        <v>Aug-18</v>
      </c>
      <c r="O259" s="16" t="s">
        <v>684</v>
      </c>
      <c r="P259" s="18" t="s">
        <v>666</v>
      </c>
      <c r="Q259" s="45">
        <v>1422.33</v>
      </c>
      <c r="R259" s="67"/>
      <c r="S259" s="45">
        <f t="shared" si="41"/>
        <v>1422.33</v>
      </c>
      <c r="T259" s="64">
        <f t="shared" si="49"/>
        <v>1564.5630000000001</v>
      </c>
      <c r="U259" s="65"/>
      <c r="V259" s="65">
        <f>7.5*56+180</f>
        <v>600</v>
      </c>
      <c r="W259" s="21">
        <f t="shared" si="46"/>
        <v>600</v>
      </c>
      <c r="X259" s="22">
        <f t="shared" si="50"/>
        <v>822.32999999999993</v>
      </c>
      <c r="Y259" s="35">
        <f t="shared" si="51"/>
        <v>0.57815696779228443</v>
      </c>
      <c r="Z259" s="20"/>
      <c r="AA259" s="11">
        <f t="shared" si="45"/>
        <v>43298</v>
      </c>
      <c r="AB259" s="20"/>
      <c r="AC259" s="24" t="s">
        <v>121</v>
      </c>
      <c r="AD259" s="70"/>
      <c r="AE259" s="70"/>
      <c r="AF259" s="71"/>
      <c r="AG259" s="70"/>
      <c r="AH259" s="72"/>
      <c r="AK259" s="27"/>
    </row>
    <row r="260" spans="1:37" s="26" customFormat="1" ht="14.25" customHeight="1" x14ac:dyDescent="0.45">
      <c r="A260" s="28" t="s">
        <v>115</v>
      </c>
      <c r="B260" s="8" t="s">
        <v>116</v>
      </c>
      <c r="C260" s="8" t="s">
        <v>51</v>
      </c>
      <c r="D260" s="9" t="s">
        <v>685</v>
      </c>
      <c r="E260" s="9">
        <v>43284</v>
      </c>
      <c r="F260" s="11">
        <v>43284</v>
      </c>
      <c r="G260" s="11">
        <v>43284</v>
      </c>
      <c r="H260" s="67"/>
      <c r="I260" s="68"/>
      <c r="J260" s="68"/>
      <c r="K260" s="14">
        <v>43298</v>
      </c>
      <c r="L260" s="9"/>
      <c r="M260" s="10" t="str">
        <f t="shared" si="47"/>
        <v>Jul-18</v>
      </c>
      <c r="N260" s="10" t="str">
        <f t="shared" si="48"/>
        <v>Jul-18</v>
      </c>
      <c r="O260" s="16" t="s">
        <v>686</v>
      </c>
      <c r="P260" s="18" t="s">
        <v>687</v>
      </c>
      <c r="Q260" s="45">
        <v>11144.61</v>
      </c>
      <c r="R260" s="67"/>
      <c r="S260" s="45">
        <f t="shared" si="41"/>
        <v>11144.61</v>
      </c>
      <c r="T260" s="64">
        <f t="shared" si="49"/>
        <v>12259.071000000002</v>
      </c>
      <c r="U260" s="65"/>
      <c r="V260" s="65">
        <f>S260/1.6</f>
        <v>6965.3812500000004</v>
      </c>
      <c r="W260" s="21">
        <f t="shared" si="46"/>
        <v>6965.3812500000004</v>
      </c>
      <c r="X260" s="22">
        <f t="shared" si="50"/>
        <v>4179.2287500000002</v>
      </c>
      <c r="Y260" s="35">
        <f t="shared" si="51"/>
        <v>0.375</v>
      </c>
      <c r="Z260" s="20"/>
      <c r="AA260" s="11">
        <f t="shared" si="45"/>
        <v>43298</v>
      </c>
      <c r="AB260" s="20"/>
      <c r="AC260" s="24" t="s">
        <v>121</v>
      </c>
      <c r="AD260" s="70"/>
      <c r="AE260" s="70"/>
      <c r="AF260" s="71"/>
      <c r="AG260" s="70"/>
      <c r="AH260" s="72"/>
      <c r="AI260" s="43"/>
      <c r="AK260" s="27"/>
    </row>
    <row r="261" spans="1:37" s="26" customFormat="1" ht="14.25" customHeight="1" x14ac:dyDescent="0.45">
      <c r="A261" s="28" t="s">
        <v>247</v>
      </c>
      <c r="B261" s="8" t="s">
        <v>116</v>
      </c>
      <c r="C261" s="8" t="s">
        <v>51</v>
      </c>
      <c r="D261" s="9" t="s">
        <v>688</v>
      </c>
      <c r="E261" s="9">
        <v>43284</v>
      </c>
      <c r="F261" s="11">
        <v>43284</v>
      </c>
      <c r="G261" s="11">
        <v>43284</v>
      </c>
      <c r="H261" s="67"/>
      <c r="I261" s="68"/>
      <c r="J261" s="68"/>
      <c r="K261" s="14">
        <v>43284</v>
      </c>
      <c r="L261" s="9"/>
      <c r="M261" s="10" t="str">
        <f t="shared" si="47"/>
        <v>Jul-18</v>
      </c>
      <c r="N261" s="10" t="str">
        <f t="shared" si="48"/>
        <v>Jul-18</v>
      </c>
      <c r="O261" s="16" t="s">
        <v>689</v>
      </c>
      <c r="P261" s="18" t="s">
        <v>220</v>
      </c>
      <c r="Q261" s="45">
        <v>3799.81</v>
      </c>
      <c r="R261" s="67"/>
      <c r="S261" s="45">
        <f t="shared" si="41"/>
        <v>3799.81</v>
      </c>
      <c r="T261" s="64">
        <f t="shared" si="49"/>
        <v>4179.7910000000002</v>
      </c>
      <c r="U261" s="65"/>
      <c r="V261" s="65">
        <f>24.5*56+5*30</f>
        <v>1522</v>
      </c>
      <c r="W261" s="21">
        <f>29*56+(3*180)</f>
        <v>2164</v>
      </c>
      <c r="X261" s="22">
        <f t="shared" si="50"/>
        <v>1635.81</v>
      </c>
      <c r="Y261" s="35">
        <f t="shared" si="51"/>
        <v>0.43049784068150776</v>
      </c>
      <c r="Z261" s="20"/>
      <c r="AA261" s="11">
        <f t="shared" si="45"/>
        <v>43298</v>
      </c>
      <c r="AB261" s="20"/>
      <c r="AC261" s="24" t="s">
        <v>121</v>
      </c>
      <c r="AD261" s="70"/>
      <c r="AE261" s="70"/>
      <c r="AF261" s="71"/>
      <c r="AG261" s="70"/>
      <c r="AH261" s="72"/>
      <c r="AK261" s="27"/>
    </row>
    <row r="262" spans="1:37" s="26" customFormat="1" ht="14.25" customHeight="1" x14ac:dyDescent="0.45">
      <c r="A262" s="28" t="s">
        <v>247</v>
      </c>
      <c r="B262" s="8" t="s">
        <v>116</v>
      </c>
      <c r="C262" s="8" t="s">
        <v>51</v>
      </c>
      <c r="D262" s="9" t="s">
        <v>690</v>
      </c>
      <c r="E262" s="9">
        <v>43285</v>
      </c>
      <c r="F262" s="11">
        <v>43284</v>
      </c>
      <c r="G262" s="11">
        <v>43284</v>
      </c>
      <c r="H262" s="67"/>
      <c r="I262" s="68"/>
      <c r="J262" s="68"/>
      <c r="K262" s="14">
        <v>43298</v>
      </c>
      <c r="L262" s="9"/>
      <c r="M262" s="10" t="str">
        <f t="shared" si="47"/>
        <v>Jul-18</v>
      </c>
      <c r="N262" s="10" t="str">
        <f t="shared" si="48"/>
        <v>Jul-18</v>
      </c>
      <c r="O262" s="16" t="s">
        <v>691</v>
      </c>
      <c r="P262" s="18" t="s">
        <v>692</v>
      </c>
      <c r="Q262" s="45">
        <v>4389.9072857142855</v>
      </c>
      <c r="R262" s="67"/>
      <c r="S262" s="45">
        <f t="shared" si="41"/>
        <v>4389.9072857142855</v>
      </c>
      <c r="T262" s="64">
        <f t="shared" si="49"/>
        <v>4828.8980142857145</v>
      </c>
      <c r="U262" s="65"/>
      <c r="V262" s="65">
        <f>30*56+300</f>
        <v>1980</v>
      </c>
      <c r="W262" s="21">
        <f t="shared" ref="W262:W325" si="52">SUM(U262:V262)</f>
        <v>1980</v>
      </c>
      <c r="X262" s="22">
        <f t="shared" si="50"/>
        <v>2409.9072857142855</v>
      </c>
      <c r="Y262" s="35">
        <f t="shared" si="51"/>
        <v>0.54896541746032967</v>
      </c>
      <c r="Z262" s="20"/>
      <c r="AA262" s="11">
        <f t="shared" si="45"/>
        <v>43298</v>
      </c>
      <c r="AB262" s="20"/>
      <c r="AC262" s="24" t="s">
        <v>121</v>
      </c>
      <c r="AD262" s="70"/>
      <c r="AE262" s="70"/>
      <c r="AF262" s="71"/>
      <c r="AG262" s="70"/>
      <c r="AH262" s="72"/>
      <c r="AK262" s="27"/>
    </row>
    <row r="263" spans="1:37" s="26" customFormat="1" ht="14.25" customHeight="1" x14ac:dyDescent="0.45">
      <c r="A263" s="28" t="s">
        <v>247</v>
      </c>
      <c r="B263" s="8" t="s">
        <v>116</v>
      </c>
      <c r="C263" s="8" t="s">
        <v>51</v>
      </c>
      <c r="D263" s="9" t="s">
        <v>693</v>
      </c>
      <c r="E263" s="9">
        <v>43284</v>
      </c>
      <c r="F263" s="11">
        <v>43284</v>
      </c>
      <c r="G263" s="11">
        <v>43284</v>
      </c>
      <c r="H263" s="67"/>
      <c r="I263" s="68"/>
      <c r="J263" s="68"/>
      <c r="K263" s="14">
        <v>43298</v>
      </c>
      <c r="L263" s="9"/>
      <c r="M263" s="10" t="str">
        <f t="shared" si="47"/>
        <v>Jul-18</v>
      </c>
      <c r="N263" s="10" t="str">
        <f t="shared" si="48"/>
        <v>Jul-18</v>
      </c>
      <c r="O263" s="16" t="s">
        <v>694</v>
      </c>
      <c r="P263" s="18" t="s">
        <v>652</v>
      </c>
      <c r="Q263" s="45">
        <v>1473.61</v>
      </c>
      <c r="R263" s="67"/>
      <c r="S263" s="45">
        <f t="shared" si="41"/>
        <v>1473.61</v>
      </c>
      <c r="T263" s="64">
        <f t="shared" si="49"/>
        <v>1620.971</v>
      </c>
      <c r="U263" s="65"/>
      <c r="V263" s="65">
        <f>9.5*56</f>
        <v>532</v>
      </c>
      <c r="W263" s="21">
        <f t="shared" si="52"/>
        <v>532</v>
      </c>
      <c r="X263" s="22">
        <f t="shared" si="50"/>
        <v>941.6099999999999</v>
      </c>
      <c r="Y263" s="35">
        <f t="shared" si="51"/>
        <v>0.63898182015594351</v>
      </c>
      <c r="Z263" s="20"/>
      <c r="AA263" s="11">
        <f t="shared" si="45"/>
        <v>43298</v>
      </c>
      <c r="AB263" s="20"/>
      <c r="AC263" s="24" t="s">
        <v>121</v>
      </c>
      <c r="AD263" s="70"/>
      <c r="AE263" s="70"/>
      <c r="AF263" s="71"/>
      <c r="AG263" s="70"/>
      <c r="AH263" s="72"/>
      <c r="AK263" s="27"/>
    </row>
    <row r="264" spans="1:37" s="26" customFormat="1" ht="14.25" customHeight="1" x14ac:dyDescent="0.45">
      <c r="A264" s="28" t="s">
        <v>247</v>
      </c>
      <c r="B264" s="8" t="s">
        <v>116</v>
      </c>
      <c r="C264" s="8" t="s">
        <v>51</v>
      </c>
      <c r="D264" s="9" t="s">
        <v>695</v>
      </c>
      <c r="E264" s="9">
        <v>43285</v>
      </c>
      <c r="F264" s="11">
        <v>43284</v>
      </c>
      <c r="G264" s="11">
        <v>43284</v>
      </c>
      <c r="H264" s="67"/>
      <c r="I264" s="68"/>
      <c r="J264" s="68"/>
      <c r="K264" s="15">
        <v>43307</v>
      </c>
      <c r="L264" s="9"/>
      <c r="M264" s="10" t="str">
        <f t="shared" si="47"/>
        <v>Jul-18</v>
      </c>
      <c r="N264" s="10" t="str">
        <f t="shared" si="48"/>
        <v>Jul-18</v>
      </c>
      <c r="O264" s="16" t="s">
        <v>696</v>
      </c>
      <c r="P264" s="18" t="s">
        <v>220</v>
      </c>
      <c r="Q264" s="45">
        <v>1409.54</v>
      </c>
      <c r="R264" s="67"/>
      <c r="S264" s="45">
        <f t="shared" si="41"/>
        <v>1409.54</v>
      </c>
      <c r="T264" s="64">
        <f t="shared" si="49"/>
        <v>1550.4940000000001</v>
      </c>
      <c r="U264" s="65"/>
      <c r="V264" s="65">
        <f>9*56</f>
        <v>504</v>
      </c>
      <c r="W264" s="21">
        <f t="shared" si="52"/>
        <v>504</v>
      </c>
      <c r="X264" s="22">
        <f t="shared" si="50"/>
        <v>905.54</v>
      </c>
      <c r="Y264" s="35">
        <f t="shared" si="51"/>
        <v>0.64243653958028857</v>
      </c>
      <c r="Z264" s="20"/>
      <c r="AA264" s="11">
        <f t="shared" si="45"/>
        <v>43298</v>
      </c>
      <c r="AB264" s="20"/>
      <c r="AC264" s="24" t="s">
        <v>121</v>
      </c>
      <c r="AD264" s="70"/>
      <c r="AE264" s="70"/>
      <c r="AF264" s="71"/>
      <c r="AG264" s="70"/>
      <c r="AH264" s="72"/>
      <c r="AK264" s="27"/>
    </row>
    <row r="265" spans="1:37" s="26" customFormat="1" ht="14.25" customHeight="1" x14ac:dyDescent="0.45">
      <c r="A265" s="28" t="s">
        <v>115</v>
      </c>
      <c r="B265" s="8" t="s">
        <v>116</v>
      </c>
      <c r="C265" s="8" t="s">
        <v>117</v>
      </c>
      <c r="D265" s="9" t="s">
        <v>697</v>
      </c>
      <c r="E265" s="9">
        <v>43284</v>
      </c>
      <c r="F265" s="11">
        <v>43284</v>
      </c>
      <c r="G265" s="11">
        <v>43284</v>
      </c>
      <c r="H265" s="67"/>
      <c r="I265" s="68"/>
      <c r="J265" s="68"/>
      <c r="K265" s="14">
        <v>43298</v>
      </c>
      <c r="L265" s="9"/>
      <c r="M265" s="10" t="str">
        <f t="shared" si="47"/>
        <v>Jul-18</v>
      </c>
      <c r="N265" s="10" t="str">
        <f t="shared" si="48"/>
        <v>Jul-18</v>
      </c>
      <c r="O265" s="16" t="s">
        <v>698</v>
      </c>
      <c r="P265" s="18" t="s">
        <v>699</v>
      </c>
      <c r="Q265" s="45">
        <v>1153.26</v>
      </c>
      <c r="R265" s="67"/>
      <c r="S265" s="45">
        <f t="shared" si="41"/>
        <v>1153.26</v>
      </c>
      <c r="T265" s="64">
        <f t="shared" si="49"/>
        <v>1268.586</v>
      </c>
      <c r="U265" s="65"/>
      <c r="V265" s="65">
        <f>7*56</f>
        <v>392</v>
      </c>
      <c r="W265" s="21">
        <f t="shared" si="52"/>
        <v>392</v>
      </c>
      <c r="X265" s="22">
        <f t="shared" si="50"/>
        <v>761.26</v>
      </c>
      <c r="Y265" s="35">
        <f t="shared" si="51"/>
        <v>0.66009399441582994</v>
      </c>
      <c r="Z265" s="20"/>
      <c r="AA265" s="11">
        <f t="shared" si="45"/>
        <v>43298</v>
      </c>
      <c r="AB265" s="20"/>
      <c r="AC265" s="24" t="s">
        <v>121</v>
      </c>
      <c r="AD265" s="70"/>
      <c r="AE265" s="70"/>
      <c r="AF265" s="71"/>
      <c r="AG265" s="70"/>
      <c r="AH265" s="72"/>
      <c r="AK265" s="27"/>
    </row>
    <row r="266" spans="1:37" s="26" customFormat="1" ht="14.25" customHeight="1" x14ac:dyDescent="0.45">
      <c r="A266" s="28" t="s">
        <v>247</v>
      </c>
      <c r="B266" s="8" t="s">
        <v>116</v>
      </c>
      <c r="C266" s="8" t="s">
        <v>117</v>
      </c>
      <c r="D266" s="9" t="s">
        <v>700</v>
      </c>
      <c r="E266" s="9">
        <v>43285</v>
      </c>
      <c r="F266" s="11">
        <v>43284</v>
      </c>
      <c r="G266" s="11">
        <v>43284</v>
      </c>
      <c r="H266" s="67"/>
      <c r="I266" s="68"/>
      <c r="J266" s="68"/>
      <c r="K266" s="15">
        <v>43307</v>
      </c>
      <c r="L266" s="9"/>
      <c r="M266" s="10" t="str">
        <f t="shared" si="47"/>
        <v>Jul-18</v>
      </c>
      <c r="N266" s="10" t="str">
        <f t="shared" si="48"/>
        <v>Jul-18</v>
      </c>
      <c r="O266" s="43" t="s">
        <v>701</v>
      </c>
      <c r="P266" s="18" t="s">
        <v>702</v>
      </c>
      <c r="Q266" s="45">
        <v>3651.99</v>
      </c>
      <c r="R266" s="67"/>
      <c r="S266" s="45">
        <f t="shared" ref="S266:S329" si="53">SUM(Q266:R266)</f>
        <v>3651.99</v>
      </c>
      <c r="T266" s="64">
        <f t="shared" si="49"/>
        <v>4017.1890000000003</v>
      </c>
      <c r="U266" s="65"/>
      <c r="V266" s="65">
        <f>26.5*56</f>
        <v>1484</v>
      </c>
      <c r="W266" s="21">
        <f t="shared" si="52"/>
        <v>1484</v>
      </c>
      <c r="X266" s="22">
        <f t="shared" si="50"/>
        <v>2167.9899999999998</v>
      </c>
      <c r="Y266" s="35">
        <f t="shared" si="51"/>
        <v>0.59364620385050337</v>
      </c>
      <c r="Z266" s="20"/>
      <c r="AA266" s="11">
        <f t="shared" si="45"/>
        <v>43298</v>
      </c>
      <c r="AB266" s="20"/>
      <c r="AC266" s="24" t="s">
        <v>121</v>
      </c>
      <c r="AD266" s="70"/>
      <c r="AE266" s="70"/>
      <c r="AF266" s="71"/>
      <c r="AG266" s="70"/>
      <c r="AH266" s="72"/>
      <c r="AK266" s="27"/>
    </row>
    <row r="267" spans="1:37" s="26" customFormat="1" ht="14.25" customHeight="1" x14ac:dyDescent="0.45">
      <c r="A267" s="28" t="s">
        <v>115</v>
      </c>
      <c r="B267" s="8" t="s">
        <v>116</v>
      </c>
      <c r="C267" s="8" t="s">
        <v>51</v>
      </c>
      <c r="D267" s="9" t="s">
        <v>703</v>
      </c>
      <c r="E267" s="9">
        <v>43284</v>
      </c>
      <c r="F267" s="11">
        <v>43284</v>
      </c>
      <c r="G267" s="11">
        <v>43284</v>
      </c>
      <c r="H267" s="67"/>
      <c r="I267" s="68"/>
      <c r="J267" s="68"/>
      <c r="K267" s="14">
        <v>43298</v>
      </c>
      <c r="L267" s="9"/>
      <c r="M267" s="10" t="str">
        <f t="shared" si="47"/>
        <v>Jul-18</v>
      </c>
      <c r="N267" s="10" t="str">
        <f t="shared" si="48"/>
        <v>Jul-18</v>
      </c>
      <c r="O267" s="16" t="s">
        <v>704</v>
      </c>
      <c r="P267" s="18" t="s">
        <v>253</v>
      </c>
      <c r="Q267" s="45">
        <v>512.55999999999995</v>
      </c>
      <c r="R267" s="67"/>
      <c r="S267" s="45">
        <f t="shared" si="53"/>
        <v>512.55999999999995</v>
      </c>
      <c r="T267" s="64">
        <f t="shared" si="49"/>
        <v>563.81600000000003</v>
      </c>
      <c r="U267" s="65"/>
      <c r="V267" s="65">
        <f>5*56</f>
        <v>280</v>
      </c>
      <c r="W267" s="21">
        <f t="shared" si="52"/>
        <v>280</v>
      </c>
      <c r="X267" s="22">
        <f t="shared" si="50"/>
        <v>232.55999999999995</v>
      </c>
      <c r="Y267" s="35">
        <f t="shared" si="51"/>
        <v>0.45372249102544088</v>
      </c>
      <c r="Z267" s="20"/>
      <c r="AA267" s="11">
        <f t="shared" si="45"/>
        <v>43298</v>
      </c>
      <c r="AB267" s="20"/>
      <c r="AC267" s="24" t="s">
        <v>121</v>
      </c>
      <c r="AD267" s="70"/>
      <c r="AE267" s="70"/>
      <c r="AF267" s="71"/>
      <c r="AG267" s="70"/>
      <c r="AH267" s="72"/>
      <c r="AK267" s="27"/>
    </row>
    <row r="268" spans="1:37" s="26" customFormat="1" ht="14.25" customHeight="1" x14ac:dyDescent="0.45">
      <c r="A268" s="28" t="s">
        <v>41</v>
      </c>
      <c r="B268" s="8" t="s">
        <v>35</v>
      </c>
      <c r="C268" s="8" t="s">
        <v>36</v>
      </c>
      <c r="D268" s="9" t="s">
        <v>705</v>
      </c>
      <c r="E268" s="9">
        <v>43354</v>
      </c>
      <c r="F268" s="10">
        <v>43304</v>
      </c>
      <c r="G268" s="11">
        <v>43305</v>
      </c>
      <c r="H268" s="15">
        <v>43306</v>
      </c>
      <c r="I268" s="49">
        <v>43342</v>
      </c>
      <c r="J268" s="14">
        <f>G268+14</f>
        <v>43319</v>
      </c>
      <c r="K268" s="14">
        <f>I268+14</f>
        <v>43356</v>
      </c>
      <c r="L268" s="9"/>
      <c r="M268" s="10" t="str">
        <f t="shared" si="47"/>
        <v>Jul-18</v>
      </c>
      <c r="N268" s="10" t="str">
        <f t="shared" si="48"/>
        <v>Sep-18</v>
      </c>
      <c r="O268" s="16" t="s">
        <v>706</v>
      </c>
      <c r="P268" s="18" t="s">
        <v>707</v>
      </c>
      <c r="Q268" s="45">
        <v>2111.65</v>
      </c>
      <c r="R268" s="45">
        <v>6124.44</v>
      </c>
      <c r="S268" s="45">
        <f t="shared" si="53"/>
        <v>8236.09</v>
      </c>
      <c r="T268" s="64">
        <f t="shared" si="49"/>
        <v>9059.6990000000005</v>
      </c>
      <c r="U268" s="65">
        <f>762.75+2464.51</f>
        <v>3227.26</v>
      </c>
      <c r="V268" s="65"/>
      <c r="W268" s="21">
        <f t="shared" si="52"/>
        <v>3227.26</v>
      </c>
      <c r="X268" s="22">
        <f t="shared" si="50"/>
        <v>5008.83</v>
      </c>
      <c r="Y268" s="35">
        <f t="shared" si="51"/>
        <v>0.60815629746639488</v>
      </c>
      <c r="Z268" s="20"/>
      <c r="AA268" s="11">
        <f t="shared" si="45"/>
        <v>43319</v>
      </c>
      <c r="AB268" s="20"/>
      <c r="AC268" s="24" t="s">
        <v>73</v>
      </c>
      <c r="AD268" s="10" t="s">
        <v>47</v>
      </c>
      <c r="AE268" s="10">
        <v>43286</v>
      </c>
      <c r="AF268" s="48"/>
      <c r="AG268" s="10">
        <v>43315</v>
      </c>
      <c r="AH268" s="25">
        <f t="shared" ref="AH268:AH297" si="54">AG268-AE268</f>
        <v>29</v>
      </c>
      <c r="AK268" s="27"/>
    </row>
    <row r="269" spans="1:37" s="26" customFormat="1" ht="14.25" customHeight="1" x14ac:dyDescent="0.45">
      <c r="A269" s="28" t="s">
        <v>41</v>
      </c>
      <c r="B269" s="8" t="s">
        <v>100</v>
      </c>
      <c r="C269" s="8" t="s">
        <v>57</v>
      </c>
      <c r="D269" s="9" t="s">
        <v>708</v>
      </c>
      <c r="E269" s="9">
        <v>43439</v>
      </c>
      <c r="F269" s="10">
        <v>43403</v>
      </c>
      <c r="G269" s="11">
        <v>43403</v>
      </c>
      <c r="H269" s="15">
        <v>43404</v>
      </c>
      <c r="I269" s="49">
        <v>43431</v>
      </c>
      <c r="J269" s="14">
        <f>G269+14</f>
        <v>43417</v>
      </c>
      <c r="K269" s="14">
        <v>43440</v>
      </c>
      <c r="L269" s="9"/>
      <c r="M269" s="10" t="str">
        <f t="shared" si="47"/>
        <v>Oct-18</v>
      </c>
      <c r="N269" s="10" t="str">
        <f t="shared" si="48"/>
        <v>Dec-18</v>
      </c>
      <c r="O269" s="16" t="s">
        <v>709</v>
      </c>
      <c r="P269" s="18" t="s">
        <v>464</v>
      </c>
      <c r="Q269" s="45">
        <v>1022.88</v>
      </c>
      <c r="R269" s="45">
        <v>1599.58</v>
      </c>
      <c r="S269" s="45">
        <f t="shared" si="53"/>
        <v>2622.46</v>
      </c>
      <c r="T269" s="64">
        <f t="shared" si="49"/>
        <v>2884.7060000000001</v>
      </c>
      <c r="U269" s="65">
        <v>680.69</v>
      </c>
      <c r="V269" s="65">
        <v>302.51</v>
      </c>
      <c r="W269" s="21">
        <f t="shared" si="52"/>
        <v>983.2</v>
      </c>
      <c r="X269" s="22">
        <f t="shared" si="50"/>
        <v>1639.26</v>
      </c>
      <c r="Y269" s="35">
        <f t="shared" si="51"/>
        <v>0.62508484400143371</v>
      </c>
      <c r="Z269" s="20"/>
      <c r="AA269" s="11">
        <f t="shared" si="45"/>
        <v>43417</v>
      </c>
      <c r="AB269" s="20"/>
      <c r="AC269" s="24" t="s">
        <v>73</v>
      </c>
      <c r="AD269" s="10" t="s">
        <v>47</v>
      </c>
      <c r="AE269" s="10">
        <v>43286</v>
      </c>
      <c r="AF269" s="48"/>
      <c r="AG269" s="10">
        <v>43371</v>
      </c>
      <c r="AH269" s="25">
        <f t="shared" si="54"/>
        <v>85</v>
      </c>
      <c r="AK269" s="27"/>
    </row>
    <row r="270" spans="1:37" s="26" customFormat="1" ht="14.25" customHeight="1" x14ac:dyDescent="0.45">
      <c r="A270" s="28" t="s">
        <v>41</v>
      </c>
      <c r="B270" s="8" t="s">
        <v>56</v>
      </c>
      <c r="C270" s="8" t="s">
        <v>57</v>
      </c>
      <c r="D270" s="9"/>
      <c r="E270" s="9"/>
      <c r="F270" s="10"/>
      <c r="G270" s="11">
        <v>43615</v>
      </c>
      <c r="H270" s="51"/>
      <c r="I270" s="52"/>
      <c r="J270" s="51"/>
      <c r="K270" s="51"/>
      <c r="L270" s="9"/>
      <c r="M270" s="10" t="str">
        <f t="shared" si="47"/>
        <v>May-19</v>
      </c>
      <c r="N270" s="10" t="str">
        <f t="shared" si="48"/>
        <v>Jan-00</v>
      </c>
      <c r="O270" s="16" t="s">
        <v>710</v>
      </c>
      <c r="P270" s="18" t="s">
        <v>370</v>
      </c>
      <c r="Q270" s="45">
        <v>680.91</v>
      </c>
      <c r="R270" s="45"/>
      <c r="S270" s="45">
        <f t="shared" si="53"/>
        <v>680.91</v>
      </c>
      <c r="T270" s="64">
        <f t="shared" si="49"/>
        <v>749.00099999999998</v>
      </c>
      <c r="U270" s="65"/>
      <c r="V270" s="65"/>
      <c r="W270" s="21">
        <f t="shared" si="52"/>
        <v>0</v>
      </c>
      <c r="X270" s="22">
        <f t="shared" si="50"/>
        <v>680.91</v>
      </c>
      <c r="Y270" s="35">
        <f t="shared" si="51"/>
        <v>1</v>
      </c>
      <c r="Z270" s="20"/>
      <c r="AA270" s="11">
        <f t="shared" si="45"/>
        <v>43629</v>
      </c>
      <c r="AB270" s="20"/>
      <c r="AC270" s="24" t="s">
        <v>73</v>
      </c>
      <c r="AD270" s="10" t="s">
        <v>47</v>
      </c>
      <c r="AE270" s="10">
        <v>43286</v>
      </c>
      <c r="AF270" s="48"/>
      <c r="AG270" s="10">
        <v>43371</v>
      </c>
      <c r="AH270" s="25">
        <f t="shared" si="54"/>
        <v>85</v>
      </c>
      <c r="AK270" s="27"/>
    </row>
    <row r="271" spans="1:37" s="26" customFormat="1" ht="14.25" customHeight="1" x14ac:dyDescent="0.45">
      <c r="A271" s="28" t="s">
        <v>41</v>
      </c>
      <c r="B271" s="8" t="s">
        <v>336</v>
      </c>
      <c r="C271" s="8" t="s">
        <v>43</v>
      </c>
      <c r="D271" s="9" t="s">
        <v>711</v>
      </c>
      <c r="E271" s="9">
        <v>43433</v>
      </c>
      <c r="F271" s="10">
        <v>43364</v>
      </c>
      <c r="G271" s="10">
        <v>43364</v>
      </c>
      <c r="H271" s="62">
        <v>43378</v>
      </c>
      <c r="I271" s="108">
        <v>43418</v>
      </c>
      <c r="J271" s="14">
        <f>G271+14</f>
        <v>43378</v>
      </c>
      <c r="K271" s="77">
        <v>43433</v>
      </c>
      <c r="L271" s="9"/>
      <c r="M271" s="10" t="str">
        <f t="shared" si="47"/>
        <v>Sep-18</v>
      </c>
      <c r="N271" s="10" t="str">
        <f t="shared" si="48"/>
        <v>Nov-18</v>
      </c>
      <c r="O271" s="16" t="s">
        <v>712</v>
      </c>
      <c r="P271" s="18" t="s">
        <v>713</v>
      </c>
      <c r="Q271" s="45">
        <v>1596.49</v>
      </c>
      <c r="R271" s="45">
        <v>8753.25</v>
      </c>
      <c r="S271" s="45">
        <f t="shared" si="53"/>
        <v>10349.74</v>
      </c>
      <c r="T271" s="64">
        <f t="shared" si="49"/>
        <v>11384.714</v>
      </c>
      <c r="U271" s="65">
        <v>7118.33</v>
      </c>
      <c r="V271" s="65"/>
      <c r="W271" s="21">
        <f t="shared" si="52"/>
        <v>7118.33</v>
      </c>
      <c r="X271" s="22">
        <f t="shared" si="50"/>
        <v>3231.41</v>
      </c>
      <c r="Y271" s="35">
        <f t="shared" si="51"/>
        <v>0.31222136981218851</v>
      </c>
      <c r="Z271" s="20"/>
      <c r="AA271" s="11"/>
      <c r="AB271" s="20"/>
      <c r="AC271" s="24" t="s">
        <v>73</v>
      </c>
      <c r="AD271" s="10" t="s">
        <v>47</v>
      </c>
      <c r="AE271" s="10">
        <v>43234</v>
      </c>
      <c r="AF271" s="48"/>
      <c r="AG271" s="10">
        <v>43246</v>
      </c>
      <c r="AH271" s="25">
        <f t="shared" si="54"/>
        <v>12</v>
      </c>
      <c r="AK271" s="27"/>
    </row>
    <row r="272" spans="1:37" s="26" customFormat="1" ht="14.25" customHeight="1" x14ac:dyDescent="0.45">
      <c r="A272" s="28" t="s">
        <v>41</v>
      </c>
      <c r="B272" s="8" t="s">
        <v>56</v>
      </c>
      <c r="C272" s="8" t="s">
        <v>57</v>
      </c>
      <c r="D272" s="9"/>
      <c r="E272" s="9"/>
      <c r="F272" s="10"/>
      <c r="G272" s="11">
        <v>43554</v>
      </c>
      <c r="H272" s="51"/>
      <c r="I272" s="52"/>
      <c r="J272" s="51"/>
      <c r="K272" s="51"/>
      <c r="L272" s="9"/>
      <c r="M272" s="10" t="str">
        <f t="shared" si="47"/>
        <v>Mar-19</v>
      </c>
      <c r="N272" s="10" t="str">
        <f t="shared" si="48"/>
        <v>Jan-00</v>
      </c>
      <c r="O272" s="16" t="s">
        <v>714</v>
      </c>
      <c r="P272" s="18" t="s">
        <v>715</v>
      </c>
      <c r="Q272" s="45">
        <v>1821.28</v>
      </c>
      <c r="R272" s="45"/>
      <c r="S272" s="45">
        <f t="shared" si="53"/>
        <v>1821.28</v>
      </c>
      <c r="T272" s="64">
        <f t="shared" si="49"/>
        <v>2003.4080000000001</v>
      </c>
      <c r="U272" s="65">
        <v>415.2</v>
      </c>
      <c r="V272" s="65"/>
      <c r="W272" s="21">
        <f t="shared" si="52"/>
        <v>415.2</v>
      </c>
      <c r="X272" s="22">
        <f t="shared" si="50"/>
        <v>1406.08</v>
      </c>
      <c r="Y272" s="35">
        <f t="shared" si="51"/>
        <v>0.77202846349819909</v>
      </c>
      <c r="Z272" s="20"/>
      <c r="AA272" s="11">
        <f t="shared" ref="AA272:AA279" si="55">G272+14</f>
        <v>43568</v>
      </c>
      <c r="AB272" s="20"/>
      <c r="AC272" s="24" t="s">
        <v>73</v>
      </c>
      <c r="AD272" s="10" t="s">
        <v>47</v>
      </c>
      <c r="AE272" s="10">
        <v>43286</v>
      </c>
      <c r="AF272" s="48"/>
      <c r="AG272" s="10">
        <v>43371</v>
      </c>
      <c r="AH272" s="25">
        <f t="shared" si="54"/>
        <v>85</v>
      </c>
      <c r="AK272" s="27"/>
    </row>
    <row r="273" spans="1:37" s="26" customFormat="1" ht="14.25" customHeight="1" x14ac:dyDescent="0.45">
      <c r="A273" s="28" t="s">
        <v>41</v>
      </c>
      <c r="B273" s="8" t="s">
        <v>146</v>
      </c>
      <c r="C273" s="8" t="s">
        <v>36</v>
      </c>
      <c r="D273" s="9"/>
      <c r="E273" s="9"/>
      <c r="F273" s="10">
        <v>43541</v>
      </c>
      <c r="G273" s="11">
        <v>43541</v>
      </c>
      <c r="H273" s="51">
        <v>43543</v>
      </c>
      <c r="I273" s="52"/>
      <c r="J273" s="51">
        <f>G273+14</f>
        <v>43555</v>
      </c>
      <c r="K273" s="51">
        <f>J273+14</f>
        <v>43569</v>
      </c>
      <c r="L273" s="9"/>
      <c r="M273" s="10" t="str">
        <f t="shared" si="47"/>
        <v>Mar-19</v>
      </c>
      <c r="N273" s="10" t="str">
        <f t="shared" si="48"/>
        <v>Apr-19</v>
      </c>
      <c r="O273" s="16" t="s">
        <v>716</v>
      </c>
      <c r="P273" s="18" t="s">
        <v>717</v>
      </c>
      <c r="Q273" s="45">
        <v>1606.42</v>
      </c>
      <c r="R273" s="45">
        <v>2515.8200000000002</v>
      </c>
      <c r="S273" s="45">
        <f t="shared" si="53"/>
        <v>4122.24</v>
      </c>
      <c r="T273" s="64">
        <f t="shared" si="49"/>
        <v>4534.4639999999999</v>
      </c>
      <c r="U273" s="65">
        <v>1303.3499999999999</v>
      </c>
      <c r="V273" s="65"/>
      <c r="W273" s="21">
        <f t="shared" si="52"/>
        <v>1303.3499999999999</v>
      </c>
      <c r="X273" s="79">
        <f t="shared" si="50"/>
        <v>2818.89</v>
      </c>
      <c r="Y273" s="80">
        <f t="shared" si="51"/>
        <v>0.68382481369352588</v>
      </c>
      <c r="Z273" s="20"/>
      <c r="AA273" s="11">
        <f t="shared" si="55"/>
        <v>43555</v>
      </c>
      <c r="AB273" s="20"/>
      <c r="AC273" s="24" t="s">
        <v>73</v>
      </c>
      <c r="AD273" s="10" t="s">
        <v>47</v>
      </c>
      <c r="AE273" s="10">
        <v>43286</v>
      </c>
      <c r="AF273" s="48"/>
      <c r="AG273" s="10">
        <v>43371</v>
      </c>
      <c r="AH273" s="25">
        <f t="shared" si="54"/>
        <v>85</v>
      </c>
      <c r="AK273" s="27"/>
    </row>
    <row r="274" spans="1:37" s="26" customFormat="1" ht="14.25" customHeight="1" x14ac:dyDescent="0.45">
      <c r="A274" s="8" t="s">
        <v>34</v>
      </c>
      <c r="B274" s="8" t="s">
        <v>65</v>
      </c>
      <c r="C274" s="8" t="s">
        <v>57</v>
      </c>
      <c r="D274" s="9" t="s">
        <v>547</v>
      </c>
      <c r="E274" s="9">
        <v>43264</v>
      </c>
      <c r="F274" s="10">
        <v>43243</v>
      </c>
      <c r="G274" s="10">
        <v>43243</v>
      </c>
      <c r="H274" s="14">
        <v>43243</v>
      </c>
      <c r="I274" s="54">
        <v>43251</v>
      </c>
      <c r="J274" s="14">
        <f>G274+14</f>
        <v>43257</v>
      </c>
      <c r="K274" s="12">
        <v>43264</v>
      </c>
      <c r="L274" s="9"/>
      <c r="M274" s="10" t="str">
        <f t="shared" si="47"/>
        <v>May-18</v>
      </c>
      <c r="N274" s="10" t="str">
        <f t="shared" si="48"/>
        <v>Jun-18</v>
      </c>
      <c r="O274" s="16" t="s">
        <v>718</v>
      </c>
      <c r="P274" s="18" t="s">
        <v>178</v>
      </c>
      <c r="Q274" s="45">
        <v>6657.74</v>
      </c>
      <c r="R274" s="45">
        <v>4284.1550857142856</v>
      </c>
      <c r="S274" s="45">
        <f t="shared" si="53"/>
        <v>10941.895085714285</v>
      </c>
      <c r="T274" s="64">
        <f t="shared" si="49"/>
        <v>12036.084594285714</v>
      </c>
      <c r="U274" s="65">
        <v>8266.83</v>
      </c>
      <c r="V274" s="65"/>
      <c r="W274" s="78">
        <f t="shared" si="52"/>
        <v>8266.83</v>
      </c>
      <c r="X274" s="22">
        <f t="shared" si="50"/>
        <v>2675.0650857142846</v>
      </c>
      <c r="Y274" s="35">
        <f t="shared" si="51"/>
        <v>0.24447913864636153</v>
      </c>
      <c r="Z274" s="20"/>
      <c r="AA274" s="11">
        <f t="shared" si="55"/>
        <v>43257</v>
      </c>
      <c r="AB274" s="20"/>
      <c r="AC274" s="24" t="s">
        <v>128</v>
      </c>
      <c r="AD274" s="10">
        <v>43201</v>
      </c>
      <c r="AE274" s="10">
        <v>43206</v>
      </c>
      <c r="AF274" s="63">
        <f>AE274-AD274</f>
        <v>5</v>
      </c>
      <c r="AG274" s="10">
        <v>43259</v>
      </c>
      <c r="AH274" s="25">
        <f t="shared" si="54"/>
        <v>53</v>
      </c>
      <c r="AK274" s="27"/>
    </row>
    <row r="275" spans="1:37" s="26" customFormat="1" ht="14.25" customHeight="1" x14ac:dyDescent="0.45">
      <c r="A275" s="28" t="s">
        <v>41</v>
      </c>
      <c r="B275" s="8" t="s">
        <v>35</v>
      </c>
      <c r="C275" s="8" t="s">
        <v>36</v>
      </c>
      <c r="D275" s="9" t="s">
        <v>719</v>
      </c>
      <c r="E275" s="9">
        <v>43315</v>
      </c>
      <c r="F275" s="10">
        <v>43291</v>
      </c>
      <c r="G275" s="11">
        <v>43293</v>
      </c>
      <c r="H275" s="67"/>
      <c r="I275" s="68"/>
      <c r="J275" s="15">
        <v>43308</v>
      </c>
      <c r="K275" s="12">
        <v>43314</v>
      </c>
      <c r="L275" s="9"/>
      <c r="M275" s="10" t="str">
        <f t="shared" si="47"/>
        <v>Jul-18</v>
      </c>
      <c r="N275" s="10" t="str">
        <f t="shared" si="48"/>
        <v>Aug-18</v>
      </c>
      <c r="O275" s="16" t="s">
        <v>720</v>
      </c>
      <c r="P275" s="18" t="s">
        <v>113</v>
      </c>
      <c r="Q275" s="45">
        <v>285.60000000000002</v>
      </c>
      <c r="R275" s="73"/>
      <c r="S275" s="45">
        <f t="shared" si="53"/>
        <v>285.60000000000002</v>
      </c>
      <c r="T275" s="64">
        <f t="shared" si="49"/>
        <v>314.16000000000003</v>
      </c>
      <c r="U275" s="65"/>
      <c r="V275" s="65"/>
      <c r="W275" s="21">
        <f t="shared" si="52"/>
        <v>0</v>
      </c>
      <c r="X275" s="22">
        <f t="shared" si="50"/>
        <v>285.60000000000002</v>
      </c>
      <c r="Y275" s="35">
        <f t="shared" si="51"/>
        <v>1</v>
      </c>
      <c r="Z275" s="20"/>
      <c r="AA275" s="11">
        <f t="shared" si="55"/>
        <v>43307</v>
      </c>
      <c r="AB275" s="20"/>
      <c r="AC275" s="24" t="s">
        <v>73</v>
      </c>
      <c r="AD275" s="10" t="s">
        <v>47</v>
      </c>
      <c r="AE275" s="10">
        <v>43290</v>
      </c>
      <c r="AF275" s="48"/>
      <c r="AG275" s="10">
        <v>43299</v>
      </c>
      <c r="AH275" s="25">
        <f t="shared" si="54"/>
        <v>9</v>
      </c>
      <c r="AK275" s="27"/>
    </row>
    <row r="276" spans="1:37" s="26" customFormat="1" ht="14.25" customHeight="1" x14ac:dyDescent="0.45">
      <c r="A276" s="8" t="s">
        <v>34</v>
      </c>
      <c r="B276" s="8" t="s">
        <v>65</v>
      </c>
      <c r="C276" s="8" t="s">
        <v>57</v>
      </c>
      <c r="D276" s="9" t="s">
        <v>721</v>
      </c>
      <c r="E276" s="9">
        <v>43371</v>
      </c>
      <c r="F276" s="10">
        <v>43339</v>
      </c>
      <c r="G276" s="11">
        <v>43339</v>
      </c>
      <c r="H276" s="15">
        <v>43339</v>
      </c>
      <c r="I276" s="49">
        <v>43356</v>
      </c>
      <c r="J276" s="14">
        <f>G276+14</f>
        <v>43353</v>
      </c>
      <c r="K276" s="77">
        <v>43368</v>
      </c>
      <c r="L276" s="9"/>
      <c r="M276" s="10" t="str">
        <f t="shared" si="47"/>
        <v>Aug-18</v>
      </c>
      <c r="N276" s="10" t="str">
        <f t="shared" si="48"/>
        <v>Sep-18</v>
      </c>
      <c r="O276" s="16" t="s">
        <v>722</v>
      </c>
      <c r="P276" s="18" t="s">
        <v>723</v>
      </c>
      <c r="Q276" s="45">
        <v>7336.89</v>
      </c>
      <c r="R276" s="45">
        <v>446.39</v>
      </c>
      <c r="S276" s="45">
        <f t="shared" si="53"/>
        <v>7783.2800000000007</v>
      </c>
      <c r="T276" s="64">
        <f t="shared" si="49"/>
        <v>8561.608000000002</v>
      </c>
      <c r="U276" s="65"/>
      <c r="V276" s="65"/>
      <c r="W276" s="21">
        <f t="shared" si="52"/>
        <v>0</v>
      </c>
      <c r="X276" s="22">
        <f t="shared" si="50"/>
        <v>7783.2800000000007</v>
      </c>
      <c r="Y276" s="35">
        <f t="shared" si="51"/>
        <v>1</v>
      </c>
      <c r="Z276" s="20"/>
      <c r="AA276" s="11">
        <f t="shared" si="55"/>
        <v>43353</v>
      </c>
      <c r="AB276" s="20"/>
      <c r="AC276" s="24" t="s">
        <v>69</v>
      </c>
      <c r="AD276" s="10">
        <v>43287</v>
      </c>
      <c r="AE276" s="10">
        <v>43291</v>
      </c>
      <c r="AF276" s="63">
        <f>AE276-AD276</f>
        <v>4</v>
      </c>
      <c r="AG276" s="10">
        <v>43370</v>
      </c>
      <c r="AH276" s="25">
        <f t="shared" si="54"/>
        <v>79</v>
      </c>
      <c r="AK276" s="27"/>
    </row>
    <row r="277" spans="1:37" s="26" customFormat="1" ht="14.25" customHeight="1" x14ac:dyDescent="0.45">
      <c r="A277" s="8" t="s">
        <v>34</v>
      </c>
      <c r="B277" s="8" t="s">
        <v>129</v>
      </c>
      <c r="C277" s="8" t="s">
        <v>57</v>
      </c>
      <c r="D277" s="9" t="s">
        <v>724</v>
      </c>
      <c r="E277" s="9">
        <v>43364</v>
      </c>
      <c r="F277" s="10">
        <v>43336</v>
      </c>
      <c r="G277" s="11">
        <v>43336</v>
      </c>
      <c r="H277" s="15">
        <v>43339</v>
      </c>
      <c r="I277" s="49">
        <v>43356</v>
      </c>
      <c r="J277" s="14">
        <f>G277+14</f>
        <v>43350</v>
      </c>
      <c r="K277" s="14">
        <v>43363</v>
      </c>
      <c r="L277" s="9"/>
      <c r="M277" s="10" t="str">
        <f t="shared" si="47"/>
        <v>Aug-18</v>
      </c>
      <c r="N277" s="10" t="str">
        <f t="shared" si="48"/>
        <v>Sep-18</v>
      </c>
      <c r="O277" s="16" t="s">
        <v>725</v>
      </c>
      <c r="P277" s="18" t="s">
        <v>598</v>
      </c>
      <c r="Q277" s="45">
        <v>3012.97</v>
      </c>
      <c r="R277" s="45">
        <v>4673.6000000000004</v>
      </c>
      <c r="S277" s="45">
        <f t="shared" si="53"/>
        <v>7686.57</v>
      </c>
      <c r="T277" s="64">
        <f t="shared" si="49"/>
        <v>8455.2270000000008</v>
      </c>
      <c r="U277" s="65"/>
      <c r="V277" s="65"/>
      <c r="W277" s="21">
        <f t="shared" si="52"/>
        <v>0</v>
      </c>
      <c r="X277" s="22">
        <f t="shared" si="50"/>
        <v>7686.57</v>
      </c>
      <c r="Y277" s="35">
        <f t="shared" si="51"/>
        <v>1</v>
      </c>
      <c r="Z277" s="20"/>
      <c r="AA277" s="11">
        <f t="shared" si="55"/>
        <v>43350</v>
      </c>
      <c r="AB277" s="20"/>
      <c r="AC277" s="24" t="s">
        <v>69</v>
      </c>
      <c r="AD277" s="10">
        <v>43251</v>
      </c>
      <c r="AE277" s="10">
        <v>43292</v>
      </c>
      <c r="AF277" s="63">
        <f>AE277-AD277</f>
        <v>41</v>
      </c>
      <c r="AG277" s="10">
        <v>43349</v>
      </c>
      <c r="AH277" s="25">
        <f t="shared" si="54"/>
        <v>57</v>
      </c>
      <c r="AK277" s="27"/>
    </row>
    <row r="278" spans="1:37" s="26" customFormat="1" ht="14.25" customHeight="1" x14ac:dyDescent="0.45">
      <c r="A278" s="28" t="s">
        <v>41</v>
      </c>
      <c r="B278" s="8" t="s">
        <v>146</v>
      </c>
      <c r="C278" s="8" t="s">
        <v>36</v>
      </c>
      <c r="D278" s="9"/>
      <c r="E278" s="9"/>
      <c r="F278" s="10"/>
      <c r="G278" s="11">
        <v>43585</v>
      </c>
      <c r="H278" s="51"/>
      <c r="I278" s="52"/>
      <c r="J278" s="51"/>
      <c r="K278" s="51"/>
      <c r="L278" s="9"/>
      <c r="M278" s="10" t="str">
        <f t="shared" si="47"/>
        <v>Apr-19</v>
      </c>
      <c r="N278" s="10" t="str">
        <f t="shared" si="48"/>
        <v>Jan-00</v>
      </c>
      <c r="O278" s="16" t="s">
        <v>726</v>
      </c>
      <c r="P278" s="18" t="s">
        <v>727</v>
      </c>
      <c r="Q278" s="45">
        <v>1576.32</v>
      </c>
      <c r="R278" s="45"/>
      <c r="S278" s="45">
        <f t="shared" si="53"/>
        <v>1576.32</v>
      </c>
      <c r="T278" s="64">
        <f t="shared" si="49"/>
        <v>1733.952</v>
      </c>
      <c r="U278" s="65"/>
      <c r="V278" s="65"/>
      <c r="W278" s="21">
        <f t="shared" si="52"/>
        <v>0</v>
      </c>
      <c r="X278" s="22">
        <f t="shared" si="50"/>
        <v>1576.32</v>
      </c>
      <c r="Y278" s="35">
        <f t="shared" si="51"/>
        <v>1</v>
      </c>
      <c r="Z278" s="20"/>
      <c r="AA278" s="11">
        <f t="shared" si="55"/>
        <v>43599</v>
      </c>
      <c r="AB278" s="20"/>
      <c r="AC278" s="24" t="s">
        <v>73</v>
      </c>
      <c r="AD278" s="10" t="s">
        <v>47</v>
      </c>
      <c r="AE278" s="10">
        <v>43294</v>
      </c>
      <c r="AF278" s="48"/>
      <c r="AG278" s="10">
        <v>43383</v>
      </c>
      <c r="AH278" s="25">
        <f t="shared" si="54"/>
        <v>89</v>
      </c>
      <c r="AK278" s="27"/>
    </row>
    <row r="279" spans="1:37" s="26" customFormat="1" ht="14.25" customHeight="1" x14ac:dyDescent="0.45">
      <c r="A279" s="28" t="s">
        <v>41</v>
      </c>
      <c r="B279" s="8" t="s">
        <v>336</v>
      </c>
      <c r="C279" s="28" t="s">
        <v>43</v>
      </c>
      <c r="D279" s="9"/>
      <c r="E279" s="9"/>
      <c r="F279" s="10"/>
      <c r="G279" s="10">
        <v>43554</v>
      </c>
      <c r="H279" s="51"/>
      <c r="I279" s="52"/>
      <c r="J279" s="51"/>
      <c r="K279" s="51"/>
      <c r="L279" s="9"/>
      <c r="M279" s="10" t="str">
        <f t="shared" si="47"/>
        <v>Mar-19</v>
      </c>
      <c r="N279" s="10" t="str">
        <f t="shared" si="48"/>
        <v>Jan-00</v>
      </c>
      <c r="O279" s="16" t="s">
        <v>728</v>
      </c>
      <c r="P279" s="18" t="s">
        <v>729</v>
      </c>
      <c r="Q279" s="45">
        <v>5378</v>
      </c>
      <c r="R279" s="45"/>
      <c r="S279" s="45">
        <f t="shared" si="53"/>
        <v>5378</v>
      </c>
      <c r="T279" s="64">
        <f t="shared" si="49"/>
        <v>5915.8</v>
      </c>
      <c r="U279" s="65"/>
      <c r="V279" s="65"/>
      <c r="W279" s="21">
        <f t="shared" si="52"/>
        <v>0</v>
      </c>
      <c r="X279" s="22">
        <f t="shared" si="50"/>
        <v>5378</v>
      </c>
      <c r="Y279" s="35">
        <f t="shared" si="51"/>
        <v>1</v>
      </c>
      <c r="Z279" s="20"/>
      <c r="AA279" s="11">
        <f t="shared" si="55"/>
        <v>43568</v>
      </c>
      <c r="AB279" s="20"/>
      <c r="AC279" s="24" t="s">
        <v>73</v>
      </c>
      <c r="AD279" s="10" t="s">
        <v>47</v>
      </c>
      <c r="AE279" s="10">
        <v>43293</v>
      </c>
      <c r="AF279" s="48"/>
      <c r="AG279" s="10">
        <v>43383</v>
      </c>
      <c r="AH279" s="25">
        <f t="shared" si="54"/>
        <v>90</v>
      </c>
      <c r="AI279" s="43"/>
      <c r="AK279" s="27"/>
    </row>
    <row r="280" spans="1:37" s="26" customFormat="1" ht="14.25" customHeight="1" x14ac:dyDescent="0.45">
      <c r="A280" s="8" t="s">
        <v>34</v>
      </c>
      <c r="B280" s="8" t="s">
        <v>65</v>
      </c>
      <c r="C280" s="8" t="s">
        <v>57</v>
      </c>
      <c r="D280" s="9" t="s">
        <v>730</v>
      </c>
      <c r="E280" s="9">
        <v>43364</v>
      </c>
      <c r="F280" s="10">
        <v>43339</v>
      </c>
      <c r="G280" s="10">
        <v>43339</v>
      </c>
      <c r="H280" s="67"/>
      <c r="I280" s="68"/>
      <c r="J280" s="14">
        <f>G280+14</f>
        <v>43353</v>
      </c>
      <c r="K280" s="14">
        <v>43363</v>
      </c>
      <c r="L280" s="9"/>
      <c r="M280" s="10" t="str">
        <f t="shared" si="47"/>
        <v>Aug-18</v>
      </c>
      <c r="N280" s="10" t="str">
        <f t="shared" si="48"/>
        <v>Sep-18</v>
      </c>
      <c r="O280" s="96" t="s">
        <v>731</v>
      </c>
      <c r="P280" s="18" t="s">
        <v>723</v>
      </c>
      <c r="Q280" s="45">
        <v>9404.6299999999992</v>
      </c>
      <c r="R280" s="73"/>
      <c r="S280" s="45">
        <f t="shared" si="53"/>
        <v>9404.6299999999992</v>
      </c>
      <c r="T280" s="64">
        <f t="shared" si="49"/>
        <v>10345.093000000001</v>
      </c>
      <c r="U280" s="65"/>
      <c r="V280" s="65"/>
      <c r="W280" s="21">
        <f t="shared" si="52"/>
        <v>0</v>
      </c>
      <c r="X280" s="22">
        <f t="shared" si="50"/>
        <v>9404.6299999999992</v>
      </c>
      <c r="Y280" s="35">
        <f t="shared" si="51"/>
        <v>1</v>
      </c>
      <c r="Z280" s="20"/>
      <c r="AA280" s="11"/>
      <c r="AB280" s="20"/>
      <c r="AC280" s="24" t="s">
        <v>69</v>
      </c>
      <c r="AD280" s="10">
        <v>43286</v>
      </c>
      <c r="AE280" s="10">
        <v>43298</v>
      </c>
      <c r="AF280" s="63">
        <f>AE280-AD280</f>
        <v>12</v>
      </c>
      <c r="AG280" s="10">
        <v>43369</v>
      </c>
      <c r="AH280" s="25">
        <f t="shared" si="54"/>
        <v>71</v>
      </c>
      <c r="AK280" s="27"/>
    </row>
    <row r="281" spans="1:37" s="26" customFormat="1" ht="14.25" customHeight="1" x14ac:dyDescent="0.45">
      <c r="A281" s="8" t="s">
        <v>34</v>
      </c>
      <c r="B281" s="8" t="s">
        <v>129</v>
      </c>
      <c r="C281" s="8" t="s">
        <v>57</v>
      </c>
      <c r="D281" s="9" t="s">
        <v>732</v>
      </c>
      <c r="E281" s="9">
        <v>43439</v>
      </c>
      <c r="F281" s="10">
        <v>43410</v>
      </c>
      <c r="G281" s="11">
        <v>43410</v>
      </c>
      <c r="H281" s="14">
        <v>43417</v>
      </c>
      <c r="I281" s="54">
        <v>43427</v>
      </c>
      <c r="J281" s="14">
        <f>G281+14</f>
        <v>43424</v>
      </c>
      <c r="K281" s="77">
        <v>43440</v>
      </c>
      <c r="L281" s="9"/>
      <c r="M281" s="10" t="str">
        <f t="shared" si="47"/>
        <v>Nov-18</v>
      </c>
      <c r="N281" s="10" t="str">
        <f t="shared" si="48"/>
        <v>Dec-18</v>
      </c>
      <c r="O281" s="16" t="s">
        <v>733</v>
      </c>
      <c r="P281" s="18" t="s">
        <v>734</v>
      </c>
      <c r="Q281" s="45">
        <v>12959.63</v>
      </c>
      <c r="R281" s="45">
        <v>9226.8709999999992</v>
      </c>
      <c r="S281" s="45">
        <f t="shared" si="53"/>
        <v>22186.500999999997</v>
      </c>
      <c r="T281" s="64">
        <f t="shared" si="49"/>
        <v>24405.151099999999</v>
      </c>
      <c r="U281" s="65"/>
      <c r="V281" s="65"/>
      <c r="W281" s="21">
        <f t="shared" si="52"/>
        <v>0</v>
      </c>
      <c r="X281" s="22">
        <f t="shared" si="50"/>
        <v>22186.500999999997</v>
      </c>
      <c r="Y281" s="35">
        <f t="shared" si="51"/>
        <v>1</v>
      </c>
      <c r="Z281" s="20"/>
      <c r="AA281" s="11"/>
      <c r="AB281" s="20"/>
      <c r="AC281" s="24" t="s">
        <v>69</v>
      </c>
      <c r="AD281" s="10">
        <v>43277</v>
      </c>
      <c r="AE281" s="10">
        <v>43298</v>
      </c>
      <c r="AF281" s="63">
        <f>AE281-AD281</f>
        <v>21</v>
      </c>
      <c r="AG281" s="10">
        <v>43364</v>
      </c>
      <c r="AH281" s="25">
        <f t="shared" si="54"/>
        <v>66</v>
      </c>
      <c r="AK281" s="27"/>
    </row>
    <row r="282" spans="1:37" s="26" customFormat="1" ht="14.25" customHeight="1" x14ac:dyDescent="0.45">
      <c r="A282" s="8" t="s">
        <v>34</v>
      </c>
      <c r="B282" s="8" t="s">
        <v>357</v>
      </c>
      <c r="C282" s="8" t="s">
        <v>57</v>
      </c>
      <c r="D282" s="9" t="s">
        <v>735</v>
      </c>
      <c r="E282" s="9">
        <v>43388</v>
      </c>
      <c r="F282" s="10">
        <v>43361</v>
      </c>
      <c r="G282" s="11">
        <v>43361</v>
      </c>
      <c r="H282" s="14">
        <v>43361</v>
      </c>
      <c r="I282" s="54">
        <v>43370</v>
      </c>
      <c r="J282" s="77">
        <f>G282+14</f>
        <v>43375</v>
      </c>
      <c r="K282" s="14">
        <f>J282+14</f>
        <v>43389</v>
      </c>
      <c r="L282" s="9"/>
      <c r="M282" s="10" t="str">
        <f t="shared" si="47"/>
        <v>Sep-18</v>
      </c>
      <c r="N282" s="10" t="str">
        <f t="shared" si="48"/>
        <v>Oct-18</v>
      </c>
      <c r="O282" s="16" t="s">
        <v>736</v>
      </c>
      <c r="P282" s="18" t="s">
        <v>737</v>
      </c>
      <c r="Q282" s="45">
        <v>15828.41</v>
      </c>
      <c r="R282" s="45">
        <v>7165.57</v>
      </c>
      <c r="S282" s="45">
        <f t="shared" si="53"/>
        <v>22993.98</v>
      </c>
      <c r="T282" s="64">
        <f t="shared" si="49"/>
        <v>25293.378000000001</v>
      </c>
      <c r="U282" s="65">
        <f>8117.92+936.36</f>
        <v>9054.2800000000007</v>
      </c>
      <c r="V282" s="65">
        <f>1897.12008+1506.13</f>
        <v>3403.2500799999998</v>
      </c>
      <c r="W282" s="21">
        <f t="shared" si="52"/>
        <v>12457.53008</v>
      </c>
      <c r="X282" s="22">
        <f t="shared" si="50"/>
        <v>10536.449919999999</v>
      </c>
      <c r="Y282" s="35">
        <f t="shared" si="51"/>
        <v>0.45822645405449597</v>
      </c>
      <c r="Z282" s="20"/>
      <c r="AA282" s="11"/>
      <c r="AB282" s="20"/>
      <c r="AC282" s="24" t="s">
        <v>69</v>
      </c>
      <c r="AD282" s="10">
        <v>43271</v>
      </c>
      <c r="AE282" s="10">
        <v>43300</v>
      </c>
      <c r="AF282" s="63">
        <f>AE282-AD282</f>
        <v>29</v>
      </c>
      <c r="AG282" s="10">
        <v>43354</v>
      </c>
      <c r="AH282" s="25">
        <f t="shared" si="54"/>
        <v>54</v>
      </c>
      <c r="AI282" s="43"/>
      <c r="AK282" s="27"/>
    </row>
    <row r="283" spans="1:37" s="26" customFormat="1" ht="14.25" customHeight="1" x14ac:dyDescent="0.45">
      <c r="A283" s="28" t="s">
        <v>41</v>
      </c>
      <c r="B283" s="8" t="s">
        <v>56</v>
      </c>
      <c r="C283" s="8" t="s">
        <v>57</v>
      </c>
      <c r="D283" s="9"/>
      <c r="E283" s="9"/>
      <c r="F283" s="10"/>
      <c r="G283" s="11">
        <v>43524</v>
      </c>
      <c r="H283" s="51"/>
      <c r="I283" s="52"/>
      <c r="J283" s="51"/>
      <c r="K283" s="51"/>
      <c r="L283" s="9"/>
      <c r="M283" s="10" t="str">
        <f t="shared" si="47"/>
        <v>Feb-19</v>
      </c>
      <c r="N283" s="10" t="str">
        <f t="shared" si="48"/>
        <v>Jan-00</v>
      </c>
      <c r="O283" s="16" t="s">
        <v>738</v>
      </c>
      <c r="P283" s="18" t="s">
        <v>486</v>
      </c>
      <c r="Q283" s="45">
        <v>1557.5</v>
      </c>
      <c r="R283" s="45"/>
      <c r="S283" s="45">
        <f t="shared" si="53"/>
        <v>1557.5</v>
      </c>
      <c r="T283" s="64">
        <f t="shared" si="49"/>
        <v>1713.2500000000002</v>
      </c>
      <c r="U283" s="65"/>
      <c r="V283" s="65"/>
      <c r="W283" s="21">
        <f t="shared" si="52"/>
        <v>0</v>
      </c>
      <c r="X283" s="22">
        <f t="shared" si="50"/>
        <v>1557.5</v>
      </c>
      <c r="Y283" s="35">
        <f t="shared" si="51"/>
        <v>1</v>
      </c>
      <c r="Z283" s="20"/>
      <c r="AA283" s="11"/>
      <c r="AB283" s="20"/>
      <c r="AC283" s="24" t="s">
        <v>73</v>
      </c>
      <c r="AD283" s="10" t="s">
        <v>47</v>
      </c>
      <c r="AE283" s="10">
        <v>43298</v>
      </c>
      <c r="AF283" s="63"/>
      <c r="AG283" s="10">
        <v>43383</v>
      </c>
      <c r="AH283" s="25">
        <f t="shared" si="54"/>
        <v>85</v>
      </c>
      <c r="AK283" s="27"/>
    </row>
    <row r="284" spans="1:37" s="26" customFormat="1" ht="14.25" customHeight="1" x14ac:dyDescent="0.45">
      <c r="A284" s="28" t="s">
        <v>41</v>
      </c>
      <c r="B284" s="8" t="s">
        <v>739</v>
      </c>
      <c r="C284" s="28" t="s">
        <v>43</v>
      </c>
      <c r="D284" s="9"/>
      <c r="E284" s="9"/>
      <c r="F284" s="10"/>
      <c r="G284" s="10">
        <v>43554</v>
      </c>
      <c r="H284" s="51"/>
      <c r="I284" s="52"/>
      <c r="J284" s="51"/>
      <c r="K284" s="51"/>
      <c r="L284" s="9"/>
      <c r="M284" s="10" t="str">
        <f t="shared" si="47"/>
        <v>Mar-19</v>
      </c>
      <c r="N284" s="10" t="str">
        <f t="shared" si="48"/>
        <v>Jan-00</v>
      </c>
      <c r="O284" s="16" t="s">
        <v>740</v>
      </c>
      <c r="P284" s="18" t="s">
        <v>739</v>
      </c>
      <c r="Q284" s="45">
        <v>1838.89</v>
      </c>
      <c r="R284" s="45"/>
      <c r="S284" s="45">
        <f t="shared" si="53"/>
        <v>1838.89</v>
      </c>
      <c r="T284" s="64">
        <f t="shared" si="49"/>
        <v>2022.7790000000002</v>
      </c>
      <c r="U284" s="65"/>
      <c r="V284" s="65"/>
      <c r="W284" s="21">
        <f t="shared" si="52"/>
        <v>0</v>
      </c>
      <c r="X284" s="22">
        <f t="shared" si="50"/>
        <v>1838.89</v>
      </c>
      <c r="Y284" s="35">
        <f t="shared" si="51"/>
        <v>1</v>
      </c>
      <c r="Z284" s="20"/>
      <c r="AA284" s="11"/>
      <c r="AB284" s="20"/>
      <c r="AC284" s="24" t="s">
        <v>73</v>
      </c>
      <c r="AD284" s="10" t="s">
        <v>47</v>
      </c>
      <c r="AE284" s="10">
        <v>43298</v>
      </c>
      <c r="AF284" s="63"/>
      <c r="AG284" s="10">
        <v>43383</v>
      </c>
      <c r="AH284" s="25">
        <f t="shared" si="54"/>
        <v>85</v>
      </c>
      <c r="AK284" s="27"/>
    </row>
    <row r="285" spans="1:37" s="26" customFormat="1" ht="14.25" customHeight="1" x14ac:dyDescent="0.45">
      <c r="A285" s="8" t="s">
        <v>34</v>
      </c>
      <c r="B285" s="8" t="s">
        <v>336</v>
      </c>
      <c r="C285" s="8" t="s">
        <v>36</v>
      </c>
      <c r="D285" s="126"/>
      <c r="E285" s="126"/>
      <c r="F285" s="10">
        <v>43298</v>
      </c>
      <c r="G285" s="11">
        <v>43311</v>
      </c>
      <c r="H285" s="51" t="s">
        <v>741</v>
      </c>
      <c r="I285" s="52"/>
      <c r="J285" s="67"/>
      <c r="K285" s="67">
        <v>43342</v>
      </c>
      <c r="L285" s="9"/>
      <c r="M285" s="10" t="str">
        <f t="shared" si="47"/>
        <v>Jul-18</v>
      </c>
      <c r="N285" s="10" t="str">
        <f t="shared" si="48"/>
        <v>Aug-18</v>
      </c>
      <c r="O285" s="16" t="s">
        <v>742</v>
      </c>
      <c r="P285" s="18" t="s">
        <v>743</v>
      </c>
      <c r="Q285" s="45">
        <v>7622.05</v>
      </c>
      <c r="R285" s="45">
        <v>-4533.29</v>
      </c>
      <c r="S285" s="45">
        <f t="shared" si="53"/>
        <v>3088.76</v>
      </c>
      <c r="T285" s="64">
        <f t="shared" si="49"/>
        <v>3397.6360000000004</v>
      </c>
      <c r="U285" s="65">
        <v>2011.12</v>
      </c>
      <c r="V285" s="65"/>
      <c r="W285" s="21">
        <f t="shared" si="52"/>
        <v>2011.12</v>
      </c>
      <c r="X285" s="22">
        <f t="shared" si="50"/>
        <v>1077.6400000000003</v>
      </c>
      <c r="Y285" s="35">
        <f t="shared" si="51"/>
        <v>0.34889081702689761</v>
      </c>
      <c r="Z285" s="20"/>
      <c r="AA285" s="11"/>
      <c r="AB285" s="20"/>
      <c r="AC285" s="74" t="s">
        <v>208</v>
      </c>
      <c r="AD285" s="10">
        <v>43257</v>
      </c>
      <c r="AE285" s="10">
        <v>43270</v>
      </c>
      <c r="AF285" s="63"/>
      <c r="AG285" s="10">
        <v>43298</v>
      </c>
      <c r="AH285" s="25">
        <f t="shared" si="54"/>
        <v>28</v>
      </c>
      <c r="AK285" s="27"/>
    </row>
    <row r="286" spans="1:37" s="26" customFormat="1" ht="14.25" customHeight="1" x14ac:dyDescent="0.45">
      <c r="A286" s="28" t="s">
        <v>41</v>
      </c>
      <c r="B286" s="8" t="s">
        <v>42</v>
      </c>
      <c r="C286" s="28" t="s">
        <v>43</v>
      </c>
      <c r="D286" s="9"/>
      <c r="E286" s="9"/>
      <c r="F286" s="10"/>
      <c r="G286" s="11">
        <v>43615</v>
      </c>
      <c r="H286" s="51"/>
      <c r="I286" s="52"/>
      <c r="J286" s="51"/>
      <c r="K286" s="51"/>
      <c r="L286" s="9"/>
      <c r="M286" s="10" t="str">
        <f t="shared" si="47"/>
        <v>May-19</v>
      </c>
      <c r="N286" s="10" t="str">
        <f t="shared" si="48"/>
        <v>Jan-00</v>
      </c>
      <c r="O286" s="16" t="s">
        <v>744</v>
      </c>
      <c r="P286" s="18" t="s">
        <v>235</v>
      </c>
      <c r="Q286" s="45">
        <v>1745.46</v>
      </c>
      <c r="R286" s="45"/>
      <c r="S286" s="45">
        <f t="shared" si="53"/>
        <v>1745.46</v>
      </c>
      <c r="T286" s="64">
        <f t="shared" si="49"/>
        <v>1920.0060000000001</v>
      </c>
      <c r="U286" s="65"/>
      <c r="V286" s="65"/>
      <c r="W286" s="21">
        <f t="shared" si="52"/>
        <v>0</v>
      </c>
      <c r="X286" s="22">
        <f t="shared" si="50"/>
        <v>1745.46</v>
      </c>
      <c r="Y286" s="35">
        <f t="shared" si="51"/>
        <v>1</v>
      </c>
      <c r="Z286" s="20"/>
      <c r="AA286" s="11"/>
      <c r="AB286" s="20"/>
      <c r="AC286" s="24" t="s">
        <v>73</v>
      </c>
      <c r="AD286" s="10" t="s">
        <v>47</v>
      </c>
      <c r="AE286" s="10">
        <v>43299</v>
      </c>
      <c r="AF286" s="63"/>
      <c r="AG286" s="10">
        <v>43383</v>
      </c>
      <c r="AH286" s="25">
        <f t="shared" si="54"/>
        <v>84</v>
      </c>
      <c r="AK286" s="27"/>
    </row>
    <row r="287" spans="1:37" s="26" customFormat="1" ht="14.25" customHeight="1" x14ac:dyDescent="0.45">
      <c r="A287" s="28" t="s">
        <v>41</v>
      </c>
      <c r="B287" s="8" t="s">
        <v>42</v>
      </c>
      <c r="C287" s="28" t="s">
        <v>43</v>
      </c>
      <c r="D287" s="9"/>
      <c r="E287" s="9"/>
      <c r="F287" s="10"/>
      <c r="G287" s="10">
        <v>43585</v>
      </c>
      <c r="H287" s="51"/>
      <c r="I287" s="52"/>
      <c r="J287" s="51"/>
      <c r="K287" s="51"/>
      <c r="L287" s="9"/>
      <c r="M287" s="10" t="str">
        <f t="shared" si="47"/>
        <v>Apr-19</v>
      </c>
      <c r="N287" s="10" t="str">
        <f t="shared" si="48"/>
        <v>Jan-00</v>
      </c>
      <c r="O287" s="16" t="s">
        <v>745</v>
      </c>
      <c r="P287" s="18" t="s">
        <v>235</v>
      </c>
      <c r="Q287" s="45">
        <v>1863.78</v>
      </c>
      <c r="R287" s="45"/>
      <c r="S287" s="45">
        <f t="shared" si="53"/>
        <v>1863.78</v>
      </c>
      <c r="T287" s="64">
        <f t="shared" si="49"/>
        <v>2050.1580000000004</v>
      </c>
      <c r="U287" s="65"/>
      <c r="V287" s="65"/>
      <c r="W287" s="21">
        <f t="shared" si="52"/>
        <v>0</v>
      </c>
      <c r="X287" s="22">
        <f t="shared" si="50"/>
        <v>1863.78</v>
      </c>
      <c r="Y287" s="35">
        <f t="shared" si="51"/>
        <v>1</v>
      </c>
      <c r="Z287" s="20"/>
      <c r="AA287" s="11"/>
      <c r="AB287" s="20"/>
      <c r="AC287" s="24" t="s">
        <v>73</v>
      </c>
      <c r="AD287" s="10" t="s">
        <v>47</v>
      </c>
      <c r="AE287" s="10">
        <v>43299</v>
      </c>
      <c r="AF287" s="63"/>
      <c r="AG287" s="10">
        <v>43383</v>
      </c>
      <c r="AH287" s="25">
        <f t="shared" si="54"/>
        <v>84</v>
      </c>
      <c r="AI287" s="25"/>
      <c r="AK287" s="27"/>
    </row>
    <row r="288" spans="1:37" s="26" customFormat="1" ht="14.25" customHeight="1" x14ac:dyDescent="0.45">
      <c r="A288" s="28" t="s">
        <v>41</v>
      </c>
      <c r="B288" s="8" t="s">
        <v>56</v>
      </c>
      <c r="C288" s="8" t="s">
        <v>57</v>
      </c>
      <c r="D288" s="9"/>
      <c r="E288" s="9"/>
      <c r="F288" s="10"/>
      <c r="G288" s="10">
        <v>43554</v>
      </c>
      <c r="H288" s="51"/>
      <c r="I288" s="52"/>
      <c r="J288" s="51"/>
      <c r="K288" s="51"/>
      <c r="L288" s="9"/>
      <c r="M288" s="10" t="str">
        <f t="shared" si="47"/>
        <v>Mar-19</v>
      </c>
      <c r="N288" s="10" t="str">
        <f t="shared" si="48"/>
        <v>Jan-00</v>
      </c>
      <c r="O288" s="16" t="s">
        <v>746</v>
      </c>
      <c r="P288" s="18" t="s">
        <v>172</v>
      </c>
      <c r="Q288" s="45">
        <v>875.62</v>
      </c>
      <c r="R288" s="45"/>
      <c r="S288" s="45">
        <f t="shared" si="53"/>
        <v>875.62</v>
      </c>
      <c r="T288" s="64">
        <f t="shared" si="49"/>
        <v>963.18200000000013</v>
      </c>
      <c r="U288" s="65"/>
      <c r="V288" s="65"/>
      <c r="W288" s="21">
        <f t="shared" si="52"/>
        <v>0</v>
      </c>
      <c r="X288" s="22">
        <f t="shared" si="50"/>
        <v>875.62</v>
      </c>
      <c r="Y288" s="35">
        <f t="shared" si="51"/>
        <v>1</v>
      </c>
      <c r="Z288" s="20"/>
      <c r="AA288" s="11"/>
      <c r="AB288" s="20"/>
      <c r="AC288" s="24" t="s">
        <v>73</v>
      </c>
      <c r="AD288" s="10" t="s">
        <v>47</v>
      </c>
      <c r="AE288" s="10">
        <v>43299</v>
      </c>
      <c r="AF288" s="63"/>
      <c r="AG288" s="10">
        <v>43383</v>
      </c>
      <c r="AH288" s="25">
        <f t="shared" si="54"/>
        <v>84</v>
      </c>
      <c r="AK288" s="27"/>
    </row>
    <row r="289" spans="1:37" s="26" customFormat="1" ht="14.25" customHeight="1" x14ac:dyDescent="0.45">
      <c r="A289" s="28" t="s">
        <v>41</v>
      </c>
      <c r="B289" s="8" t="s">
        <v>42</v>
      </c>
      <c r="C289" s="28" t="s">
        <v>43</v>
      </c>
      <c r="D289" s="9"/>
      <c r="E289" s="9"/>
      <c r="F289" s="10"/>
      <c r="G289" s="11">
        <v>43524</v>
      </c>
      <c r="H289" s="51"/>
      <c r="I289" s="52"/>
      <c r="J289" s="51"/>
      <c r="K289" s="51"/>
      <c r="L289" s="9"/>
      <c r="M289" s="10" t="str">
        <f t="shared" si="47"/>
        <v>Feb-19</v>
      </c>
      <c r="N289" s="10" t="str">
        <f t="shared" si="48"/>
        <v>Jan-00</v>
      </c>
      <c r="O289" s="16" t="s">
        <v>747</v>
      </c>
      <c r="P289" s="18" t="s">
        <v>160</v>
      </c>
      <c r="Q289" s="45">
        <v>4072.98</v>
      </c>
      <c r="R289" s="45"/>
      <c r="S289" s="45">
        <f t="shared" si="53"/>
        <v>4072.98</v>
      </c>
      <c r="T289" s="64">
        <f t="shared" si="49"/>
        <v>4480.2780000000002</v>
      </c>
      <c r="U289" s="65"/>
      <c r="V289" s="65"/>
      <c r="W289" s="21">
        <f t="shared" si="52"/>
        <v>0</v>
      </c>
      <c r="X289" s="22">
        <f t="shared" si="50"/>
        <v>4072.98</v>
      </c>
      <c r="Y289" s="35">
        <f t="shared" si="51"/>
        <v>1</v>
      </c>
      <c r="Z289" s="20"/>
      <c r="AA289" s="11"/>
      <c r="AB289" s="20"/>
      <c r="AC289" s="24" t="s">
        <v>73</v>
      </c>
      <c r="AD289" s="10" t="s">
        <v>47</v>
      </c>
      <c r="AE289" s="10">
        <v>43299</v>
      </c>
      <c r="AF289" s="63"/>
      <c r="AG289" s="10">
        <v>43383</v>
      </c>
      <c r="AH289" s="25">
        <f t="shared" si="54"/>
        <v>84</v>
      </c>
      <c r="AK289" s="27"/>
    </row>
    <row r="290" spans="1:37" s="26" customFormat="1" ht="14.25" customHeight="1" x14ac:dyDescent="0.45">
      <c r="A290" s="28" t="s">
        <v>41</v>
      </c>
      <c r="B290" s="8" t="s">
        <v>35</v>
      </c>
      <c r="C290" s="8" t="s">
        <v>36</v>
      </c>
      <c r="D290" s="9" t="s">
        <v>748</v>
      </c>
      <c r="E290" s="9">
        <v>43384</v>
      </c>
      <c r="F290" s="10">
        <v>43335</v>
      </c>
      <c r="G290" s="11">
        <v>43335</v>
      </c>
      <c r="H290" s="14">
        <v>43338</v>
      </c>
      <c r="I290" s="54">
        <v>43361</v>
      </c>
      <c r="J290" s="14">
        <f>G290+14</f>
        <v>43349</v>
      </c>
      <c r="K290" s="14">
        <v>43384</v>
      </c>
      <c r="L290" s="9"/>
      <c r="M290" s="10" t="str">
        <f t="shared" si="47"/>
        <v>Aug-18</v>
      </c>
      <c r="N290" s="10" t="str">
        <f t="shared" si="48"/>
        <v>Oct-18</v>
      </c>
      <c r="O290" s="16" t="s">
        <v>749</v>
      </c>
      <c r="P290" s="18" t="s">
        <v>187</v>
      </c>
      <c r="Q290" s="45">
        <v>4517.93</v>
      </c>
      <c r="R290" s="45">
        <v>9364.6779999999999</v>
      </c>
      <c r="S290" s="45">
        <f t="shared" si="53"/>
        <v>13882.608</v>
      </c>
      <c r="T290" s="64">
        <f t="shared" si="49"/>
        <v>15270.868800000002</v>
      </c>
      <c r="U290" s="65">
        <v>5869.67</v>
      </c>
      <c r="V290" s="65"/>
      <c r="W290" s="21">
        <f t="shared" si="52"/>
        <v>5869.67</v>
      </c>
      <c r="X290" s="22">
        <f t="shared" si="50"/>
        <v>8012.9380000000001</v>
      </c>
      <c r="Y290" s="35">
        <f t="shared" si="51"/>
        <v>0.57719255632659228</v>
      </c>
      <c r="Z290" s="20"/>
      <c r="AA290" s="11"/>
      <c r="AB290" s="20"/>
      <c r="AC290" s="24" t="s">
        <v>73</v>
      </c>
      <c r="AD290" s="10" t="s">
        <v>47</v>
      </c>
      <c r="AE290" s="10">
        <v>43300</v>
      </c>
      <c r="AF290" s="63"/>
      <c r="AG290" s="10">
        <v>43385</v>
      </c>
      <c r="AH290" s="25">
        <f t="shared" si="54"/>
        <v>85</v>
      </c>
      <c r="AK290" s="27"/>
    </row>
    <row r="291" spans="1:37" s="26" customFormat="1" ht="14.25" customHeight="1" x14ac:dyDescent="0.45">
      <c r="A291" s="28" t="s">
        <v>41</v>
      </c>
      <c r="B291" s="8" t="s">
        <v>35</v>
      </c>
      <c r="C291" s="8" t="s">
        <v>43</v>
      </c>
      <c r="D291" s="9" t="s">
        <v>750</v>
      </c>
      <c r="E291" s="10">
        <v>43433</v>
      </c>
      <c r="F291" s="10">
        <v>43378</v>
      </c>
      <c r="G291" s="11">
        <v>43378</v>
      </c>
      <c r="H291" s="15">
        <v>43383</v>
      </c>
      <c r="I291" s="49">
        <v>43418</v>
      </c>
      <c r="J291" s="14">
        <f>G291+14</f>
        <v>43392</v>
      </c>
      <c r="K291" s="77">
        <v>43433</v>
      </c>
      <c r="L291" s="9"/>
      <c r="M291" s="10" t="str">
        <f t="shared" si="47"/>
        <v>Oct-18</v>
      </c>
      <c r="N291" s="10" t="str">
        <f t="shared" si="48"/>
        <v>Nov-18</v>
      </c>
      <c r="O291" s="16" t="s">
        <v>751</v>
      </c>
      <c r="P291" s="18" t="s">
        <v>511</v>
      </c>
      <c r="Q291" s="45">
        <v>2424.06</v>
      </c>
      <c r="R291" s="45">
        <v>3717.23</v>
      </c>
      <c r="S291" s="45">
        <f t="shared" si="53"/>
        <v>6141.29</v>
      </c>
      <c r="T291" s="64">
        <f t="shared" si="49"/>
        <v>6755.4190000000008</v>
      </c>
      <c r="U291" s="65">
        <v>2694.03</v>
      </c>
      <c r="V291" s="89"/>
      <c r="W291" s="21">
        <f t="shared" si="52"/>
        <v>2694.03</v>
      </c>
      <c r="X291" s="22">
        <f t="shared" si="50"/>
        <v>3447.2599999999998</v>
      </c>
      <c r="Y291" s="35">
        <f t="shared" si="51"/>
        <v>0.56132506362669732</v>
      </c>
      <c r="Z291" s="20"/>
      <c r="AA291" s="11"/>
      <c r="AB291" s="20"/>
      <c r="AC291" s="24" t="s">
        <v>73</v>
      </c>
      <c r="AD291" s="10" t="s">
        <v>47</v>
      </c>
      <c r="AE291" s="10">
        <v>43263</v>
      </c>
      <c r="AF291" s="48"/>
      <c r="AG291" s="10">
        <v>43371</v>
      </c>
      <c r="AH291" s="25">
        <f t="shared" si="54"/>
        <v>108</v>
      </c>
      <c r="AK291" s="27"/>
    </row>
    <row r="292" spans="1:37" s="26" customFormat="1" ht="14.25" customHeight="1" x14ac:dyDescent="0.45">
      <c r="A292" s="28" t="s">
        <v>41</v>
      </c>
      <c r="B292" s="8" t="s">
        <v>512</v>
      </c>
      <c r="C292" s="8" t="s">
        <v>43</v>
      </c>
      <c r="D292" s="9" t="s">
        <v>752</v>
      </c>
      <c r="E292" s="9">
        <v>43483</v>
      </c>
      <c r="F292" s="10">
        <v>43406</v>
      </c>
      <c r="G292" s="11">
        <v>43409</v>
      </c>
      <c r="H292" s="15">
        <v>43424</v>
      </c>
      <c r="I292" s="49">
        <v>43425</v>
      </c>
      <c r="J292" s="14">
        <f>G292+14</f>
        <v>43423</v>
      </c>
      <c r="K292" s="15">
        <v>43482</v>
      </c>
      <c r="L292" s="9"/>
      <c r="M292" s="10" t="str">
        <f t="shared" si="47"/>
        <v>Nov-18</v>
      </c>
      <c r="N292" s="10" t="str">
        <f t="shared" si="48"/>
        <v>Jan-19</v>
      </c>
      <c r="O292" s="16" t="s">
        <v>753</v>
      </c>
      <c r="P292" s="18" t="s">
        <v>754</v>
      </c>
      <c r="Q292" s="45">
        <v>10653.74</v>
      </c>
      <c r="R292" s="45">
        <v>12707.51</v>
      </c>
      <c r="S292" s="45">
        <f t="shared" si="53"/>
        <v>23361.25</v>
      </c>
      <c r="T292" s="64">
        <f t="shared" si="49"/>
        <v>25697.375000000004</v>
      </c>
      <c r="U292" s="65">
        <v>11292.03</v>
      </c>
      <c r="V292" s="65">
        <v>1856.5900799999999</v>
      </c>
      <c r="W292" s="78">
        <f t="shared" si="52"/>
        <v>13148.620080000001</v>
      </c>
      <c r="X292" s="22">
        <f t="shared" si="50"/>
        <v>10212.629919999999</v>
      </c>
      <c r="Y292" s="35">
        <f t="shared" si="51"/>
        <v>0.43716110738937342</v>
      </c>
      <c r="Z292" s="20"/>
      <c r="AA292" s="11"/>
      <c r="AB292" s="20"/>
      <c r="AC292" s="24" t="s">
        <v>73</v>
      </c>
      <c r="AD292" s="10" t="s">
        <v>47</v>
      </c>
      <c r="AE292" s="10">
        <v>43301</v>
      </c>
      <c r="AF292" s="63"/>
      <c r="AG292" s="10">
        <v>43390</v>
      </c>
      <c r="AH292" s="25">
        <f t="shared" si="54"/>
        <v>89</v>
      </c>
      <c r="AK292" s="27"/>
    </row>
    <row r="293" spans="1:37" s="26" customFormat="1" ht="14.25" customHeight="1" x14ac:dyDescent="0.45">
      <c r="A293" s="28" t="s">
        <v>41</v>
      </c>
      <c r="B293" s="8" t="s">
        <v>739</v>
      </c>
      <c r="C293" s="28" t="s">
        <v>43</v>
      </c>
      <c r="D293" s="9"/>
      <c r="E293" s="9"/>
      <c r="F293" s="10"/>
      <c r="G293" s="86">
        <v>43554</v>
      </c>
      <c r="H293" s="15"/>
      <c r="I293" s="49"/>
      <c r="J293" s="15"/>
      <c r="K293" s="15"/>
      <c r="L293" s="9"/>
      <c r="M293" s="86" t="str">
        <f t="shared" si="47"/>
        <v>Mar-19</v>
      </c>
      <c r="N293" s="86" t="str">
        <f t="shared" si="48"/>
        <v>Jan-00</v>
      </c>
      <c r="O293" s="127" t="s">
        <v>755</v>
      </c>
      <c r="P293" s="60" t="s">
        <v>35</v>
      </c>
      <c r="Q293" s="128">
        <v>1753.73</v>
      </c>
      <c r="R293" s="128"/>
      <c r="S293" s="128">
        <f t="shared" si="53"/>
        <v>1753.73</v>
      </c>
      <c r="T293" s="64">
        <f t="shared" si="49"/>
        <v>1929.1030000000001</v>
      </c>
      <c r="U293" s="129">
        <v>3947.98</v>
      </c>
      <c r="V293" s="65"/>
      <c r="W293" s="78">
        <f t="shared" si="52"/>
        <v>3947.98</v>
      </c>
      <c r="X293" s="79">
        <f t="shared" si="50"/>
        <v>-2194.25</v>
      </c>
      <c r="Y293" s="80">
        <f t="shared" si="51"/>
        <v>-1.2511903200606707</v>
      </c>
      <c r="Z293" s="20"/>
      <c r="AA293" s="11"/>
      <c r="AB293" s="20"/>
      <c r="AC293" s="24" t="s">
        <v>73</v>
      </c>
      <c r="AD293" s="10" t="s">
        <v>47</v>
      </c>
      <c r="AE293" s="10">
        <v>43301</v>
      </c>
      <c r="AF293" s="63"/>
      <c r="AG293" s="10">
        <v>43390</v>
      </c>
      <c r="AH293" s="25">
        <f t="shared" si="54"/>
        <v>89</v>
      </c>
      <c r="AK293" s="27"/>
    </row>
    <row r="294" spans="1:37" s="26" customFormat="1" ht="14.25" customHeight="1" x14ac:dyDescent="0.45">
      <c r="A294" s="28" t="s">
        <v>41</v>
      </c>
      <c r="B294" s="8" t="s">
        <v>739</v>
      </c>
      <c r="C294" s="28" t="s">
        <v>43</v>
      </c>
      <c r="D294" s="9"/>
      <c r="E294" s="9"/>
      <c r="F294" s="10"/>
      <c r="G294" s="11">
        <v>43676</v>
      </c>
      <c r="H294" s="51"/>
      <c r="I294" s="52"/>
      <c r="J294" s="51"/>
      <c r="K294" s="51"/>
      <c r="L294" s="9"/>
      <c r="M294" s="10" t="str">
        <f t="shared" si="47"/>
        <v>Jul-19</v>
      </c>
      <c r="N294" s="10" t="str">
        <f t="shared" si="48"/>
        <v>Jan-00</v>
      </c>
      <c r="O294" s="16" t="s">
        <v>756</v>
      </c>
      <c r="P294" s="18" t="s">
        <v>757</v>
      </c>
      <c r="Q294" s="45">
        <v>1044.69</v>
      </c>
      <c r="R294" s="45"/>
      <c r="S294" s="45">
        <f t="shared" si="53"/>
        <v>1044.69</v>
      </c>
      <c r="T294" s="64">
        <f t="shared" si="49"/>
        <v>1149.1590000000001</v>
      </c>
      <c r="U294" s="65"/>
      <c r="V294" s="65"/>
      <c r="W294" s="21">
        <f t="shared" si="52"/>
        <v>0</v>
      </c>
      <c r="X294" s="22">
        <f t="shared" si="50"/>
        <v>1044.69</v>
      </c>
      <c r="Y294" s="35">
        <f t="shared" si="51"/>
        <v>1</v>
      </c>
      <c r="Z294" s="20"/>
      <c r="AA294" s="11"/>
      <c r="AB294" s="20"/>
      <c r="AC294" s="24" t="s">
        <v>73</v>
      </c>
      <c r="AD294" s="10" t="s">
        <v>47</v>
      </c>
      <c r="AE294" s="10">
        <v>43301</v>
      </c>
      <c r="AF294" s="63"/>
      <c r="AG294" s="10">
        <v>43390</v>
      </c>
      <c r="AH294" s="25">
        <f t="shared" si="54"/>
        <v>89</v>
      </c>
      <c r="AK294" s="27"/>
    </row>
    <row r="295" spans="1:37" s="26" customFormat="1" ht="14.25" customHeight="1" x14ac:dyDescent="0.45">
      <c r="A295" s="28" t="s">
        <v>41</v>
      </c>
      <c r="B295" s="8" t="s">
        <v>35</v>
      </c>
      <c r="C295" s="8" t="s">
        <v>43</v>
      </c>
      <c r="D295" s="9" t="s">
        <v>758</v>
      </c>
      <c r="E295" s="9">
        <v>43483</v>
      </c>
      <c r="F295" s="10">
        <v>43419</v>
      </c>
      <c r="G295" s="10">
        <v>43420</v>
      </c>
      <c r="H295" s="15">
        <v>43425</v>
      </c>
      <c r="I295" s="49">
        <v>43455</v>
      </c>
      <c r="J295" s="14">
        <f>G295+14</f>
        <v>43434</v>
      </c>
      <c r="K295" s="15">
        <v>43487</v>
      </c>
      <c r="L295" s="9"/>
      <c r="M295" s="10" t="str">
        <f t="shared" si="47"/>
        <v>Nov-18</v>
      </c>
      <c r="N295" s="10" t="str">
        <f t="shared" si="48"/>
        <v>Jan-19</v>
      </c>
      <c r="O295" s="16" t="s">
        <v>759</v>
      </c>
      <c r="P295" s="18" t="s">
        <v>760</v>
      </c>
      <c r="Q295" s="45">
        <v>2574.5100000000002</v>
      </c>
      <c r="R295" s="45">
        <v>11918.410000000003</v>
      </c>
      <c r="S295" s="45">
        <f t="shared" si="53"/>
        <v>14492.920000000004</v>
      </c>
      <c r="T295" s="64">
        <f t="shared" si="49"/>
        <v>15942.212000000005</v>
      </c>
      <c r="U295" s="65">
        <v>8104.13</v>
      </c>
      <c r="V295" s="65"/>
      <c r="W295" s="21">
        <f t="shared" si="52"/>
        <v>8104.13</v>
      </c>
      <c r="X295" s="22">
        <f t="shared" si="50"/>
        <v>6388.7900000000036</v>
      </c>
      <c r="Y295" s="35">
        <f t="shared" si="51"/>
        <v>0.44082144936976136</v>
      </c>
      <c r="Z295" s="20"/>
      <c r="AA295" s="11">
        <f>G295+14</f>
        <v>43434</v>
      </c>
      <c r="AB295" s="20"/>
      <c r="AC295" s="24" t="s">
        <v>73</v>
      </c>
      <c r="AD295" s="10" t="s">
        <v>47</v>
      </c>
      <c r="AE295" s="10">
        <v>43187</v>
      </c>
      <c r="AF295" s="48"/>
      <c r="AG295" s="10">
        <v>43214</v>
      </c>
      <c r="AH295" s="25">
        <f t="shared" si="54"/>
        <v>27</v>
      </c>
      <c r="AK295" s="27"/>
    </row>
    <row r="296" spans="1:37" s="26" customFormat="1" ht="14.25" customHeight="1" x14ac:dyDescent="0.45">
      <c r="A296" s="28" t="s">
        <v>41</v>
      </c>
      <c r="B296" s="8" t="s">
        <v>42</v>
      </c>
      <c r="C296" s="28" t="s">
        <v>43</v>
      </c>
      <c r="D296" s="9"/>
      <c r="E296" s="9"/>
      <c r="F296" s="10"/>
      <c r="G296" s="11">
        <v>43646</v>
      </c>
      <c r="H296" s="51"/>
      <c r="I296" s="52"/>
      <c r="J296" s="51"/>
      <c r="K296" s="51"/>
      <c r="L296" s="9"/>
      <c r="M296" s="10" t="str">
        <f t="shared" si="47"/>
        <v>Jun-19</v>
      </c>
      <c r="N296" s="10" t="str">
        <f t="shared" si="48"/>
        <v>Jan-00</v>
      </c>
      <c r="O296" s="16" t="s">
        <v>761</v>
      </c>
      <c r="P296" s="18" t="s">
        <v>762</v>
      </c>
      <c r="Q296" s="45">
        <v>5325.25</v>
      </c>
      <c r="R296" s="45"/>
      <c r="S296" s="45">
        <f t="shared" si="53"/>
        <v>5325.25</v>
      </c>
      <c r="T296" s="64">
        <f t="shared" si="49"/>
        <v>5857.7750000000005</v>
      </c>
      <c r="U296" s="65"/>
      <c r="V296" s="65"/>
      <c r="W296" s="21">
        <f t="shared" si="52"/>
        <v>0</v>
      </c>
      <c r="X296" s="22">
        <f t="shared" si="50"/>
        <v>5325.25</v>
      </c>
      <c r="Y296" s="35">
        <f t="shared" si="51"/>
        <v>1</v>
      </c>
      <c r="Z296" s="20"/>
      <c r="AA296" s="11"/>
      <c r="AB296" s="20"/>
      <c r="AC296" s="24" t="s">
        <v>73</v>
      </c>
      <c r="AD296" s="10" t="s">
        <v>47</v>
      </c>
      <c r="AE296" s="10">
        <v>43301</v>
      </c>
      <c r="AF296" s="63"/>
      <c r="AG296" s="10">
        <v>43400</v>
      </c>
      <c r="AH296" s="25">
        <f t="shared" si="54"/>
        <v>99</v>
      </c>
      <c r="AK296" s="27"/>
    </row>
    <row r="297" spans="1:37" s="26" customFormat="1" ht="14.25" customHeight="1" x14ac:dyDescent="0.45">
      <c r="A297" s="28" t="s">
        <v>41</v>
      </c>
      <c r="B297" s="8" t="s">
        <v>129</v>
      </c>
      <c r="C297" s="8" t="s">
        <v>57</v>
      </c>
      <c r="D297" s="9" t="s">
        <v>763</v>
      </c>
      <c r="E297" s="9">
        <v>43369</v>
      </c>
      <c r="F297" s="10">
        <v>43350</v>
      </c>
      <c r="G297" s="110">
        <v>43350</v>
      </c>
      <c r="H297" s="54">
        <v>43350</v>
      </c>
      <c r="I297" s="54">
        <v>43360</v>
      </c>
      <c r="J297" s="14">
        <f>G297+14</f>
        <v>43364</v>
      </c>
      <c r="K297" s="14">
        <v>43370</v>
      </c>
      <c r="L297" s="9"/>
      <c r="M297" s="10" t="str">
        <f t="shared" si="47"/>
        <v>Sep-18</v>
      </c>
      <c r="N297" s="10" t="str">
        <f t="shared" si="48"/>
        <v>Sep-18</v>
      </c>
      <c r="O297" s="16" t="s">
        <v>764</v>
      </c>
      <c r="P297" s="18" t="s">
        <v>765</v>
      </c>
      <c r="Q297" s="45">
        <v>1942.23</v>
      </c>
      <c r="R297" s="45">
        <v>1545.48</v>
      </c>
      <c r="S297" s="45">
        <f t="shared" si="53"/>
        <v>3487.71</v>
      </c>
      <c r="T297" s="64">
        <f t="shared" si="49"/>
        <v>3836.4810000000002</v>
      </c>
      <c r="U297" s="65"/>
      <c r="V297" s="65"/>
      <c r="W297" s="21">
        <f t="shared" si="52"/>
        <v>0</v>
      </c>
      <c r="X297" s="22">
        <f t="shared" si="50"/>
        <v>3487.71</v>
      </c>
      <c r="Y297" s="35">
        <f t="shared" si="51"/>
        <v>1</v>
      </c>
      <c r="Z297" s="20"/>
      <c r="AA297" s="11"/>
      <c r="AB297" s="20"/>
      <c r="AC297" s="24" t="s">
        <v>73</v>
      </c>
      <c r="AD297" s="10" t="s">
        <v>47</v>
      </c>
      <c r="AE297" s="10">
        <v>43301</v>
      </c>
      <c r="AF297" s="63"/>
      <c r="AG297" s="10">
        <v>43407</v>
      </c>
      <c r="AH297" s="25">
        <f t="shared" si="54"/>
        <v>106</v>
      </c>
      <c r="AK297" s="27"/>
    </row>
    <row r="298" spans="1:37" s="26" customFormat="1" ht="14.25" customHeight="1" x14ac:dyDescent="0.45">
      <c r="A298" s="28" t="s">
        <v>367</v>
      </c>
      <c r="B298" s="8" t="s">
        <v>100</v>
      </c>
      <c r="C298" s="8" t="s">
        <v>378</v>
      </c>
      <c r="D298" s="9" t="s">
        <v>766</v>
      </c>
      <c r="E298" s="9">
        <v>43448</v>
      </c>
      <c r="F298" s="10">
        <v>43404</v>
      </c>
      <c r="G298" s="11">
        <v>43404</v>
      </c>
      <c r="H298" s="14">
        <v>43418</v>
      </c>
      <c r="I298" s="54">
        <v>43427</v>
      </c>
      <c r="J298" s="14">
        <f>G298+14</f>
        <v>43418</v>
      </c>
      <c r="K298" s="15">
        <v>43448</v>
      </c>
      <c r="L298" s="9"/>
      <c r="M298" s="10" t="str">
        <f t="shared" si="47"/>
        <v>Oct-18</v>
      </c>
      <c r="N298" s="10" t="str">
        <f t="shared" si="48"/>
        <v>Dec-18</v>
      </c>
      <c r="O298" s="97" t="s">
        <v>767</v>
      </c>
      <c r="P298" s="98" t="s">
        <v>768</v>
      </c>
      <c r="Q298" s="99">
        <f>23602-Q299</f>
        <v>16521.400000000001</v>
      </c>
      <c r="R298" s="45">
        <v>103826.76000000001</v>
      </c>
      <c r="S298" s="45">
        <f t="shared" si="53"/>
        <v>120348.16</v>
      </c>
      <c r="T298" s="64">
        <f t="shared" si="49"/>
        <v>132382.97600000002</v>
      </c>
      <c r="U298" s="65">
        <v>79409.25</v>
      </c>
      <c r="V298" s="65"/>
      <c r="W298" s="21">
        <f t="shared" si="52"/>
        <v>79409.25</v>
      </c>
      <c r="X298" s="22">
        <f t="shared" si="50"/>
        <v>40938.910000000003</v>
      </c>
      <c r="Y298" s="35">
        <f t="shared" si="51"/>
        <v>0.34017063493118632</v>
      </c>
      <c r="Z298" s="20"/>
      <c r="AA298" s="11"/>
      <c r="AB298" s="20"/>
      <c r="AC298" s="24" t="s">
        <v>371</v>
      </c>
      <c r="AD298" s="10" t="s">
        <v>47</v>
      </c>
      <c r="AE298" s="70"/>
      <c r="AF298" s="71"/>
      <c r="AG298" s="70"/>
      <c r="AH298" s="72"/>
      <c r="AK298" s="27"/>
    </row>
    <row r="299" spans="1:37" s="26" customFormat="1" ht="14.25" customHeight="1" x14ac:dyDescent="0.45">
      <c r="A299" s="28" t="s">
        <v>367</v>
      </c>
      <c r="B299" s="8" t="s">
        <v>100</v>
      </c>
      <c r="C299" s="8" t="s">
        <v>378</v>
      </c>
      <c r="D299" s="9" t="s">
        <v>769</v>
      </c>
      <c r="E299" s="9">
        <v>43334</v>
      </c>
      <c r="F299" s="10">
        <v>43332</v>
      </c>
      <c r="G299" s="11">
        <v>43332</v>
      </c>
      <c r="H299" s="67"/>
      <c r="I299" s="68"/>
      <c r="J299" s="67"/>
      <c r="K299" s="14">
        <v>43335</v>
      </c>
      <c r="L299" s="9"/>
      <c r="M299" s="10" t="str">
        <f t="shared" si="47"/>
        <v>Aug-18</v>
      </c>
      <c r="N299" s="10" t="str">
        <f t="shared" si="48"/>
        <v>Aug-18</v>
      </c>
      <c r="O299" s="97" t="s">
        <v>767</v>
      </c>
      <c r="P299" s="98" t="s">
        <v>768</v>
      </c>
      <c r="Q299" s="99">
        <v>7080.5999999999995</v>
      </c>
      <c r="R299" s="73"/>
      <c r="S299" s="45">
        <f t="shared" si="53"/>
        <v>7080.5999999999995</v>
      </c>
      <c r="T299" s="64">
        <f t="shared" si="49"/>
        <v>7788.66</v>
      </c>
      <c r="U299" s="100"/>
      <c r="V299" s="100"/>
      <c r="W299" s="21">
        <f t="shared" si="52"/>
        <v>0</v>
      </c>
      <c r="X299" s="22">
        <f t="shared" si="50"/>
        <v>7080.5999999999995</v>
      </c>
      <c r="Y299" s="35">
        <f t="shared" si="51"/>
        <v>1</v>
      </c>
      <c r="Z299" s="20"/>
      <c r="AA299" s="11"/>
      <c r="AB299" s="20"/>
      <c r="AC299" s="24" t="s">
        <v>371</v>
      </c>
      <c r="AD299" s="10" t="s">
        <v>47</v>
      </c>
      <c r="AE299" s="70"/>
      <c r="AF299" s="71"/>
      <c r="AG299" s="70"/>
      <c r="AH299" s="72"/>
      <c r="AK299" s="27"/>
    </row>
    <row r="300" spans="1:37" s="26" customFormat="1" ht="14.25" customHeight="1" x14ac:dyDescent="0.45">
      <c r="A300" s="28" t="s">
        <v>41</v>
      </c>
      <c r="B300" s="8" t="s">
        <v>42</v>
      </c>
      <c r="C300" s="28" t="s">
        <v>43</v>
      </c>
      <c r="D300" s="9"/>
      <c r="E300" s="9"/>
      <c r="F300" s="10"/>
      <c r="G300" s="11">
        <v>43829</v>
      </c>
      <c r="H300" s="51"/>
      <c r="I300" s="52"/>
      <c r="J300" s="51"/>
      <c r="K300" s="51"/>
      <c r="L300" s="9"/>
      <c r="M300" s="10" t="str">
        <f t="shared" si="47"/>
        <v>Dec-19</v>
      </c>
      <c r="N300" s="10" t="str">
        <f t="shared" si="48"/>
        <v>Jan-00</v>
      </c>
      <c r="O300" s="16" t="s">
        <v>770</v>
      </c>
      <c r="P300" s="18" t="s">
        <v>771</v>
      </c>
      <c r="Q300" s="45">
        <v>5138.95</v>
      </c>
      <c r="R300" s="45"/>
      <c r="S300" s="45">
        <f t="shared" si="53"/>
        <v>5138.95</v>
      </c>
      <c r="T300" s="64">
        <f t="shared" si="49"/>
        <v>5652.8450000000003</v>
      </c>
      <c r="U300" s="65"/>
      <c r="V300" s="65"/>
      <c r="W300" s="21">
        <f t="shared" si="52"/>
        <v>0</v>
      </c>
      <c r="X300" s="22">
        <f t="shared" si="50"/>
        <v>5138.95</v>
      </c>
      <c r="Y300" s="35">
        <f t="shared" si="51"/>
        <v>1</v>
      </c>
      <c r="Z300" s="20"/>
      <c r="AA300" s="11"/>
      <c r="AB300" s="20"/>
      <c r="AC300" s="24" t="s">
        <v>73</v>
      </c>
      <c r="AD300" s="10" t="s">
        <v>47</v>
      </c>
      <c r="AE300" s="10">
        <v>43301</v>
      </c>
      <c r="AF300" s="63"/>
      <c r="AG300" s="10">
        <v>43390</v>
      </c>
      <c r="AH300" s="25">
        <f t="shared" ref="AH300:AH328" si="56">AG300-AE300</f>
        <v>89</v>
      </c>
      <c r="AK300" s="27"/>
    </row>
    <row r="301" spans="1:37" s="26" customFormat="1" ht="14.25" customHeight="1" x14ac:dyDescent="0.45">
      <c r="A301" s="8" t="s">
        <v>34</v>
      </c>
      <c r="B301" s="8" t="s">
        <v>297</v>
      </c>
      <c r="C301" s="8" t="s">
        <v>36</v>
      </c>
      <c r="D301" s="9" t="s">
        <v>772</v>
      </c>
      <c r="E301" s="9">
        <v>43382</v>
      </c>
      <c r="F301" s="10">
        <v>43355</v>
      </c>
      <c r="G301" s="110">
        <v>43355</v>
      </c>
      <c r="H301" s="67"/>
      <c r="I301" s="68"/>
      <c r="J301" s="14">
        <f>G301+14</f>
        <v>43369</v>
      </c>
      <c r="K301" s="14">
        <v>43382</v>
      </c>
      <c r="L301" s="9"/>
      <c r="M301" s="10" t="str">
        <f t="shared" si="47"/>
        <v>Sep-18</v>
      </c>
      <c r="N301" s="10" t="str">
        <f t="shared" si="48"/>
        <v>Oct-18</v>
      </c>
      <c r="O301" s="16" t="s">
        <v>773</v>
      </c>
      <c r="P301" s="18" t="s">
        <v>350</v>
      </c>
      <c r="Q301" s="45">
        <v>12541.16</v>
      </c>
      <c r="R301" s="73"/>
      <c r="S301" s="45">
        <f t="shared" si="53"/>
        <v>12541.16</v>
      </c>
      <c r="T301" s="64">
        <f t="shared" si="49"/>
        <v>13795.276000000002</v>
      </c>
      <c r="U301" s="65">
        <v>4994.3500000000004</v>
      </c>
      <c r="V301" s="34">
        <v>1160</v>
      </c>
      <c r="W301" s="21">
        <f t="shared" si="52"/>
        <v>6154.35</v>
      </c>
      <c r="X301" s="22">
        <f t="shared" si="50"/>
        <v>6386.8099999999995</v>
      </c>
      <c r="Y301" s="35">
        <f t="shared" si="51"/>
        <v>0.50926788271579337</v>
      </c>
      <c r="Z301" s="20"/>
      <c r="AA301" s="11"/>
      <c r="AB301" s="20"/>
      <c r="AC301" s="24" t="s">
        <v>69</v>
      </c>
      <c r="AD301" s="10">
        <v>43297</v>
      </c>
      <c r="AE301" s="10">
        <v>43304</v>
      </c>
      <c r="AF301" s="63">
        <f>AE301-AD301</f>
        <v>7</v>
      </c>
      <c r="AG301" s="10">
        <v>43320</v>
      </c>
      <c r="AH301" s="25">
        <f t="shared" si="56"/>
        <v>16</v>
      </c>
      <c r="AK301" s="27"/>
    </row>
    <row r="302" spans="1:37" s="26" customFormat="1" ht="14.25" customHeight="1" x14ac:dyDescent="0.45">
      <c r="A302" s="8" t="s">
        <v>774</v>
      </c>
      <c r="B302" s="8" t="s">
        <v>35</v>
      </c>
      <c r="C302" s="8" t="s">
        <v>36</v>
      </c>
      <c r="D302" s="9" t="s">
        <v>775</v>
      </c>
      <c r="E302" s="9">
        <v>43467</v>
      </c>
      <c r="F302" s="10">
        <v>43392</v>
      </c>
      <c r="G302" s="10">
        <v>43392</v>
      </c>
      <c r="H302" s="77">
        <v>43397</v>
      </c>
      <c r="I302" s="85">
        <v>43444</v>
      </c>
      <c r="J302" s="14">
        <f>G302+14</f>
        <v>43406</v>
      </c>
      <c r="K302" s="77">
        <v>43468</v>
      </c>
      <c r="L302" s="9"/>
      <c r="M302" s="10" t="str">
        <f t="shared" si="47"/>
        <v>Oct-18</v>
      </c>
      <c r="N302" s="10" t="str">
        <f t="shared" si="48"/>
        <v>Jan-19</v>
      </c>
      <c r="O302" s="113" t="s">
        <v>776</v>
      </c>
      <c r="P302" s="114" t="s">
        <v>98</v>
      </c>
      <c r="Q302" s="115">
        <f>35777.96-Q198</f>
        <v>25044.57</v>
      </c>
      <c r="R302" s="45">
        <v>53952.106461000003</v>
      </c>
      <c r="S302" s="45">
        <f t="shared" si="53"/>
        <v>78996.676460999995</v>
      </c>
      <c r="T302" s="64">
        <f t="shared" si="49"/>
        <v>86896.344107099998</v>
      </c>
      <c r="U302" s="65">
        <v>48798.201872499994</v>
      </c>
      <c r="V302" s="65">
        <v>6825.16032</v>
      </c>
      <c r="W302" s="21">
        <f t="shared" si="52"/>
        <v>55623.362192499997</v>
      </c>
      <c r="X302" s="22">
        <f t="shared" si="50"/>
        <v>23373.314268499998</v>
      </c>
      <c r="Y302" s="35">
        <f t="shared" si="51"/>
        <v>0.29587718516283668</v>
      </c>
      <c r="Z302" s="20"/>
      <c r="AA302" s="11"/>
      <c r="AB302" s="20"/>
      <c r="AC302" s="24" t="s">
        <v>69</v>
      </c>
      <c r="AD302" s="10" t="s">
        <v>47</v>
      </c>
      <c r="AE302" s="10">
        <v>43259</v>
      </c>
      <c r="AF302" s="48"/>
      <c r="AG302" s="10">
        <v>43343</v>
      </c>
      <c r="AH302" s="25">
        <f t="shared" si="56"/>
        <v>84</v>
      </c>
      <c r="AK302" s="27"/>
    </row>
    <row r="303" spans="1:37" s="26" customFormat="1" ht="14.25" customHeight="1" x14ac:dyDescent="0.45">
      <c r="A303" s="28" t="s">
        <v>41</v>
      </c>
      <c r="B303" s="8" t="s">
        <v>357</v>
      </c>
      <c r="C303" s="8" t="s">
        <v>57</v>
      </c>
      <c r="D303" s="9" t="s">
        <v>777</v>
      </c>
      <c r="E303" s="9">
        <v>43369</v>
      </c>
      <c r="F303" s="10">
        <v>43350</v>
      </c>
      <c r="G303" s="110">
        <v>43350</v>
      </c>
      <c r="H303" s="14">
        <v>43350</v>
      </c>
      <c r="I303" s="54">
        <v>43356</v>
      </c>
      <c r="J303" s="14">
        <f>G303+14</f>
        <v>43364</v>
      </c>
      <c r="K303" s="14">
        <v>43370</v>
      </c>
      <c r="L303" s="9"/>
      <c r="M303" s="10" t="str">
        <f t="shared" si="47"/>
        <v>Sep-18</v>
      </c>
      <c r="N303" s="10" t="str">
        <f t="shared" si="48"/>
        <v>Sep-18</v>
      </c>
      <c r="O303" s="16" t="s">
        <v>778</v>
      </c>
      <c r="P303" s="18" t="s">
        <v>779</v>
      </c>
      <c r="Q303" s="45">
        <v>3146.07</v>
      </c>
      <c r="R303" s="45">
        <v>7941.2842315000007</v>
      </c>
      <c r="S303" s="45">
        <f t="shared" si="53"/>
        <v>11087.354231500001</v>
      </c>
      <c r="T303" s="64">
        <f t="shared" si="49"/>
        <v>12196.089654650003</v>
      </c>
      <c r="U303" s="65"/>
      <c r="V303" s="65"/>
      <c r="W303" s="21">
        <f t="shared" si="52"/>
        <v>0</v>
      </c>
      <c r="X303" s="22">
        <f t="shared" si="50"/>
        <v>11087.354231500001</v>
      </c>
      <c r="Y303" s="35">
        <f t="shared" si="51"/>
        <v>1</v>
      </c>
      <c r="Z303" s="20"/>
      <c r="AA303" s="11"/>
      <c r="AB303" s="20"/>
      <c r="AC303" s="24" t="s">
        <v>69</v>
      </c>
      <c r="AD303" s="10" t="s">
        <v>47</v>
      </c>
      <c r="AE303" s="10">
        <v>43304</v>
      </c>
      <c r="AF303" s="63"/>
      <c r="AG303" s="10">
        <v>43405</v>
      </c>
      <c r="AH303" s="25">
        <f t="shared" si="56"/>
        <v>101</v>
      </c>
      <c r="AK303" s="27"/>
    </row>
    <row r="304" spans="1:37" s="26" customFormat="1" ht="14.25" customHeight="1" x14ac:dyDescent="0.45">
      <c r="A304" s="28" t="s">
        <v>41</v>
      </c>
      <c r="B304" s="8" t="s">
        <v>35</v>
      </c>
      <c r="C304" s="8" t="s">
        <v>36</v>
      </c>
      <c r="D304" s="9" t="s">
        <v>780</v>
      </c>
      <c r="E304" s="9">
        <v>43388</v>
      </c>
      <c r="F304" s="10">
        <v>43350</v>
      </c>
      <c r="G304" s="11">
        <v>43350</v>
      </c>
      <c r="H304" s="67"/>
      <c r="I304" s="68"/>
      <c r="J304" s="15">
        <v>43378</v>
      </c>
      <c r="K304" s="14">
        <f>J304+14</f>
        <v>43392</v>
      </c>
      <c r="L304" s="9"/>
      <c r="M304" s="10" t="str">
        <f t="shared" si="47"/>
        <v>Sep-18</v>
      </c>
      <c r="N304" s="10" t="str">
        <f t="shared" si="48"/>
        <v>Oct-18</v>
      </c>
      <c r="O304" s="16" t="s">
        <v>781</v>
      </c>
      <c r="P304" s="18" t="s">
        <v>72</v>
      </c>
      <c r="Q304" s="45">
        <v>901.08</v>
      </c>
      <c r="R304" s="73"/>
      <c r="S304" s="45">
        <f t="shared" si="53"/>
        <v>901.08</v>
      </c>
      <c r="T304" s="64">
        <f t="shared" si="49"/>
        <v>991.1880000000001</v>
      </c>
      <c r="U304" s="65"/>
      <c r="V304" s="66">
        <v>178.62168</v>
      </c>
      <c r="W304" s="21">
        <f t="shared" si="52"/>
        <v>178.62168</v>
      </c>
      <c r="X304" s="22">
        <f t="shared" si="50"/>
        <v>722.45832000000007</v>
      </c>
      <c r="Y304" s="35">
        <f t="shared" si="51"/>
        <v>0.80176934345452133</v>
      </c>
      <c r="Z304" s="20"/>
      <c r="AA304" s="11"/>
      <c r="AB304" s="20"/>
      <c r="AC304" s="24" t="s">
        <v>69</v>
      </c>
      <c r="AD304" s="10" t="s">
        <v>47</v>
      </c>
      <c r="AE304" s="10">
        <v>43304</v>
      </c>
      <c r="AF304" s="63"/>
      <c r="AG304" s="10">
        <v>43381</v>
      </c>
      <c r="AH304" s="25">
        <f t="shared" si="56"/>
        <v>77</v>
      </c>
      <c r="AK304" s="27"/>
    </row>
    <row r="305" spans="1:37" s="26" customFormat="1" ht="14.25" customHeight="1" x14ac:dyDescent="0.45">
      <c r="A305" s="28" t="s">
        <v>41</v>
      </c>
      <c r="B305" s="8" t="s">
        <v>42</v>
      </c>
      <c r="C305" s="28" t="s">
        <v>43</v>
      </c>
      <c r="D305" s="9"/>
      <c r="E305" s="9"/>
      <c r="F305" s="10"/>
      <c r="G305" s="11">
        <v>43524</v>
      </c>
      <c r="H305" s="51"/>
      <c r="I305" s="52"/>
      <c r="J305" s="51"/>
      <c r="K305" s="51"/>
      <c r="L305" s="9"/>
      <c r="M305" s="10" t="str">
        <f t="shared" si="47"/>
        <v>Feb-19</v>
      </c>
      <c r="N305" s="10" t="str">
        <f t="shared" si="48"/>
        <v>Jan-00</v>
      </c>
      <c r="O305" s="16" t="s">
        <v>782</v>
      </c>
      <c r="P305" s="18" t="s">
        <v>783</v>
      </c>
      <c r="Q305" s="45">
        <v>5335.07</v>
      </c>
      <c r="R305" s="45"/>
      <c r="S305" s="45">
        <f t="shared" si="53"/>
        <v>5335.07</v>
      </c>
      <c r="T305" s="64">
        <f t="shared" si="49"/>
        <v>5868.5770000000002</v>
      </c>
      <c r="U305" s="65"/>
      <c r="V305" s="65"/>
      <c r="W305" s="21">
        <f t="shared" si="52"/>
        <v>0</v>
      </c>
      <c r="X305" s="22">
        <f t="shared" si="50"/>
        <v>5335.07</v>
      </c>
      <c r="Y305" s="35">
        <f t="shared" si="51"/>
        <v>1</v>
      </c>
      <c r="Z305" s="20"/>
      <c r="AA305" s="11"/>
      <c r="AB305" s="20"/>
      <c r="AC305" s="24" t="s">
        <v>69</v>
      </c>
      <c r="AD305" s="10" t="s">
        <v>47</v>
      </c>
      <c r="AE305" s="10">
        <v>43304</v>
      </c>
      <c r="AF305" s="63"/>
      <c r="AG305" s="10">
        <v>43406</v>
      </c>
      <c r="AH305" s="25">
        <f t="shared" si="56"/>
        <v>102</v>
      </c>
      <c r="AK305" s="27"/>
    </row>
    <row r="306" spans="1:37" s="26" customFormat="1" ht="14.25" customHeight="1" x14ac:dyDescent="0.45">
      <c r="A306" s="28" t="s">
        <v>41</v>
      </c>
      <c r="B306" s="8" t="s">
        <v>65</v>
      </c>
      <c r="C306" s="8" t="s">
        <v>57</v>
      </c>
      <c r="D306" s="9" t="s">
        <v>784</v>
      </c>
      <c r="E306" s="9">
        <v>43483</v>
      </c>
      <c r="F306" s="10">
        <v>43424</v>
      </c>
      <c r="G306" s="11">
        <v>43424</v>
      </c>
      <c r="H306" s="15">
        <v>43425</v>
      </c>
      <c r="I306" s="49">
        <v>43455</v>
      </c>
      <c r="J306" s="14">
        <f>G306+14</f>
        <v>43438</v>
      </c>
      <c r="K306" s="15">
        <v>43487</v>
      </c>
      <c r="L306" s="9"/>
      <c r="M306" s="10" t="str">
        <f t="shared" si="47"/>
        <v>Nov-18</v>
      </c>
      <c r="N306" s="10" t="str">
        <f t="shared" si="48"/>
        <v>Jan-19</v>
      </c>
      <c r="O306" s="16" t="s">
        <v>785</v>
      </c>
      <c r="P306" s="18" t="s">
        <v>68</v>
      </c>
      <c r="Q306" s="45">
        <v>4097</v>
      </c>
      <c r="R306" s="45">
        <v>6315.4489999999996</v>
      </c>
      <c r="S306" s="45">
        <f t="shared" si="53"/>
        <v>10412.449000000001</v>
      </c>
      <c r="T306" s="64">
        <f t="shared" si="49"/>
        <v>11453.693900000002</v>
      </c>
      <c r="U306" s="65">
        <v>2929.97</v>
      </c>
      <c r="V306" s="65"/>
      <c r="W306" s="21">
        <f t="shared" si="52"/>
        <v>2929.97</v>
      </c>
      <c r="X306" s="22">
        <f t="shared" si="50"/>
        <v>7482.4790000000012</v>
      </c>
      <c r="Y306" s="35">
        <f t="shared" si="51"/>
        <v>0.71860894588775426</v>
      </c>
      <c r="Z306" s="20"/>
      <c r="AA306" s="11"/>
      <c r="AB306" s="20"/>
      <c r="AC306" s="24" t="s">
        <v>152</v>
      </c>
      <c r="AD306" s="10" t="s">
        <v>47</v>
      </c>
      <c r="AE306" s="10">
        <v>43301</v>
      </c>
      <c r="AF306" s="63"/>
      <c r="AG306" s="10">
        <v>43390</v>
      </c>
      <c r="AH306" s="25">
        <f t="shared" si="56"/>
        <v>89</v>
      </c>
      <c r="AK306" s="27"/>
    </row>
    <row r="307" spans="1:37" s="26" customFormat="1" ht="14.25" customHeight="1" x14ac:dyDescent="0.45">
      <c r="A307" s="28" t="s">
        <v>41</v>
      </c>
      <c r="B307" s="8" t="s">
        <v>35</v>
      </c>
      <c r="C307" s="8" t="s">
        <v>36</v>
      </c>
      <c r="D307" s="9" t="s">
        <v>786</v>
      </c>
      <c r="E307" s="9">
        <v>43369</v>
      </c>
      <c r="F307" s="10">
        <v>43343</v>
      </c>
      <c r="G307" s="11">
        <v>43343</v>
      </c>
      <c r="H307" s="14">
        <v>43347</v>
      </c>
      <c r="I307" s="54">
        <v>43360</v>
      </c>
      <c r="J307" s="14">
        <f>G307+14</f>
        <v>43357</v>
      </c>
      <c r="K307" s="14">
        <v>43370</v>
      </c>
      <c r="L307" s="9"/>
      <c r="M307" s="10" t="str">
        <f t="shared" si="47"/>
        <v>Aug-18</v>
      </c>
      <c r="N307" s="10" t="str">
        <f t="shared" si="48"/>
        <v>Sep-18</v>
      </c>
      <c r="O307" s="16" t="s">
        <v>787</v>
      </c>
      <c r="P307" s="18" t="s">
        <v>788</v>
      </c>
      <c r="Q307" s="45">
        <v>3386.21</v>
      </c>
      <c r="R307" s="45">
        <v>180.23999999999978</v>
      </c>
      <c r="S307" s="45">
        <f t="shared" si="53"/>
        <v>3566.45</v>
      </c>
      <c r="T307" s="64">
        <f t="shared" si="49"/>
        <v>3923.0950000000003</v>
      </c>
      <c r="U307" s="65"/>
      <c r="V307" s="65"/>
      <c r="W307" s="21">
        <f t="shared" si="52"/>
        <v>0</v>
      </c>
      <c r="X307" s="22">
        <f t="shared" si="50"/>
        <v>3566.45</v>
      </c>
      <c r="Y307" s="35">
        <f t="shared" si="51"/>
        <v>1</v>
      </c>
      <c r="Z307" s="20"/>
      <c r="AA307" s="11"/>
      <c r="AB307" s="20"/>
      <c r="AC307" s="24" t="s">
        <v>69</v>
      </c>
      <c r="AD307" s="10" t="s">
        <v>47</v>
      </c>
      <c r="AE307" s="10">
        <v>43306</v>
      </c>
      <c r="AF307" s="63"/>
      <c r="AG307" s="10">
        <v>43399</v>
      </c>
      <c r="AH307" s="25">
        <f t="shared" si="56"/>
        <v>93</v>
      </c>
      <c r="AK307" s="27"/>
    </row>
    <row r="308" spans="1:37" s="26" customFormat="1" ht="14.25" customHeight="1" x14ac:dyDescent="0.45">
      <c r="A308" s="28" t="s">
        <v>41</v>
      </c>
      <c r="B308" s="8" t="s">
        <v>336</v>
      </c>
      <c r="C308" s="8" t="s">
        <v>36</v>
      </c>
      <c r="D308" s="9" t="s">
        <v>789</v>
      </c>
      <c r="E308" s="9">
        <v>43384</v>
      </c>
      <c r="F308" s="10">
        <v>43357</v>
      </c>
      <c r="G308" s="11">
        <v>43357</v>
      </c>
      <c r="H308" s="14">
        <v>43362</v>
      </c>
      <c r="I308" s="54">
        <v>43370</v>
      </c>
      <c r="J308" s="14">
        <f>G308+14</f>
        <v>43371</v>
      </c>
      <c r="K308" s="15">
        <v>43389</v>
      </c>
      <c r="L308" s="9"/>
      <c r="M308" s="10" t="str">
        <f t="shared" si="47"/>
        <v>Sep-18</v>
      </c>
      <c r="N308" s="10" t="str">
        <f t="shared" si="48"/>
        <v>Oct-18</v>
      </c>
      <c r="O308" s="16" t="s">
        <v>790</v>
      </c>
      <c r="P308" s="18" t="s">
        <v>791</v>
      </c>
      <c r="Q308" s="45">
        <v>1126.73</v>
      </c>
      <c r="R308" s="45">
        <v>2824.192</v>
      </c>
      <c r="S308" s="45">
        <f t="shared" si="53"/>
        <v>3950.922</v>
      </c>
      <c r="T308" s="64">
        <f t="shared" si="49"/>
        <v>4346.0142000000005</v>
      </c>
      <c r="U308" s="65"/>
      <c r="V308" s="65"/>
      <c r="W308" s="21">
        <f t="shared" si="52"/>
        <v>0</v>
      </c>
      <c r="X308" s="22">
        <f t="shared" si="50"/>
        <v>3950.922</v>
      </c>
      <c r="Y308" s="35">
        <f t="shared" si="51"/>
        <v>1</v>
      </c>
      <c r="Z308" s="20"/>
      <c r="AA308" s="11"/>
      <c r="AB308" s="20"/>
      <c r="AC308" s="24" t="s">
        <v>69</v>
      </c>
      <c r="AD308" s="10" t="s">
        <v>47</v>
      </c>
      <c r="AE308" s="10">
        <v>43306</v>
      </c>
      <c r="AF308" s="63"/>
      <c r="AG308" s="10">
        <v>43420</v>
      </c>
      <c r="AH308" s="25">
        <f t="shared" si="56"/>
        <v>114</v>
      </c>
      <c r="AK308" s="27"/>
    </row>
    <row r="309" spans="1:37" s="26" customFormat="1" ht="14.25" customHeight="1" x14ac:dyDescent="0.45">
      <c r="A309" s="28" t="s">
        <v>41</v>
      </c>
      <c r="B309" s="8" t="s">
        <v>35</v>
      </c>
      <c r="C309" s="8" t="s">
        <v>36</v>
      </c>
      <c r="D309" s="9" t="s">
        <v>792</v>
      </c>
      <c r="E309" s="9">
        <v>43384</v>
      </c>
      <c r="F309" s="10">
        <v>43347</v>
      </c>
      <c r="G309" s="11">
        <v>43347</v>
      </c>
      <c r="H309" s="14">
        <v>43362</v>
      </c>
      <c r="I309" s="54">
        <v>43370</v>
      </c>
      <c r="J309" s="14">
        <f>G309+14</f>
        <v>43361</v>
      </c>
      <c r="K309" s="15">
        <v>43384</v>
      </c>
      <c r="L309" s="9"/>
      <c r="M309" s="10" t="str">
        <f t="shared" si="47"/>
        <v>Sep-18</v>
      </c>
      <c r="N309" s="10" t="str">
        <f t="shared" si="48"/>
        <v>Oct-18</v>
      </c>
      <c r="O309" s="16" t="s">
        <v>793</v>
      </c>
      <c r="P309" s="18" t="s">
        <v>81</v>
      </c>
      <c r="Q309" s="45">
        <v>2438.62</v>
      </c>
      <c r="R309" s="45">
        <v>7436.94</v>
      </c>
      <c r="S309" s="45">
        <f t="shared" si="53"/>
        <v>9875.56</v>
      </c>
      <c r="T309" s="64">
        <f t="shared" si="49"/>
        <v>10863.116</v>
      </c>
      <c r="U309" s="65">
        <v>3547.88</v>
      </c>
      <c r="V309" s="65"/>
      <c r="W309" s="21">
        <f t="shared" si="52"/>
        <v>3547.88</v>
      </c>
      <c r="X309" s="22">
        <f t="shared" si="50"/>
        <v>6327.6799999999994</v>
      </c>
      <c r="Y309" s="35">
        <f t="shared" si="51"/>
        <v>0.64074138580495688</v>
      </c>
      <c r="Z309" s="20"/>
      <c r="AA309" s="11"/>
      <c r="AB309" s="20"/>
      <c r="AC309" s="24" t="s">
        <v>73</v>
      </c>
      <c r="AD309" s="10" t="s">
        <v>47</v>
      </c>
      <c r="AE309" s="10">
        <v>43306</v>
      </c>
      <c r="AF309" s="63"/>
      <c r="AG309" s="10">
        <v>43439</v>
      </c>
      <c r="AH309" s="25">
        <f t="shared" si="56"/>
        <v>133</v>
      </c>
      <c r="AK309" s="27"/>
    </row>
    <row r="310" spans="1:37" s="26" customFormat="1" ht="14.25" customHeight="1" x14ac:dyDescent="0.45">
      <c r="A310" s="28" t="s">
        <v>41</v>
      </c>
      <c r="B310" s="8" t="s">
        <v>357</v>
      </c>
      <c r="C310" s="8" t="s">
        <v>57</v>
      </c>
      <c r="D310" s="9"/>
      <c r="E310" s="9"/>
      <c r="F310" s="10"/>
      <c r="G310" s="10">
        <v>43585</v>
      </c>
      <c r="H310" s="51"/>
      <c r="I310" s="52"/>
      <c r="J310" s="51"/>
      <c r="K310" s="51"/>
      <c r="L310" s="9"/>
      <c r="M310" s="10" t="str">
        <f t="shared" si="47"/>
        <v>Apr-19</v>
      </c>
      <c r="N310" s="10" t="str">
        <f t="shared" si="48"/>
        <v>Jan-00</v>
      </c>
      <c r="O310" s="16" t="s">
        <v>794</v>
      </c>
      <c r="P310" s="18" t="s">
        <v>795</v>
      </c>
      <c r="Q310" s="45">
        <v>8978.73</v>
      </c>
      <c r="R310" s="45"/>
      <c r="S310" s="45">
        <f t="shared" si="53"/>
        <v>8978.73</v>
      </c>
      <c r="T310" s="64">
        <f t="shared" si="49"/>
        <v>9876.603000000001</v>
      </c>
      <c r="U310" s="65"/>
      <c r="V310" s="65"/>
      <c r="W310" s="21">
        <f t="shared" si="52"/>
        <v>0</v>
      </c>
      <c r="X310" s="22">
        <f t="shared" si="50"/>
        <v>8978.73</v>
      </c>
      <c r="Y310" s="35">
        <f t="shared" si="51"/>
        <v>1</v>
      </c>
      <c r="Z310" s="20"/>
      <c r="AA310" s="11"/>
      <c r="AB310" s="20"/>
      <c r="AC310" s="24" t="s">
        <v>73</v>
      </c>
      <c r="AD310" s="10" t="s">
        <v>47</v>
      </c>
      <c r="AE310" s="10">
        <v>43306</v>
      </c>
      <c r="AF310" s="63"/>
      <c r="AG310" s="10">
        <v>43393</v>
      </c>
      <c r="AH310" s="25">
        <f t="shared" si="56"/>
        <v>87</v>
      </c>
      <c r="AK310" s="27"/>
    </row>
    <row r="311" spans="1:37" s="26" customFormat="1" ht="14.25" customHeight="1" x14ac:dyDescent="0.45">
      <c r="A311" s="28" t="s">
        <v>41</v>
      </c>
      <c r="B311" s="8" t="s">
        <v>56</v>
      </c>
      <c r="C311" s="8" t="s">
        <v>57</v>
      </c>
      <c r="D311" s="9"/>
      <c r="E311" s="9"/>
      <c r="F311" s="10"/>
      <c r="G311" s="11">
        <v>43524</v>
      </c>
      <c r="H311" s="51"/>
      <c r="I311" s="52"/>
      <c r="J311" s="51"/>
      <c r="K311" s="51"/>
      <c r="L311" s="9"/>
      <c r="M311" s="10" t="str">
        <f t="shared" si="47"/>
        <v>Feb-19</v>
      </c>
      <c r="N311" s="10" t="str">
        <f t="shared" si="48"/>
        <v>Jan-00</v>
      </c>
      <c r="O311" s="16" t="s">
        <v>796</v>
      </c>
      <c r="P311" s="18" t="s">
        <v>468</v>
      </c>
      <c r="Q311" s="45">
        <v>3084.32</v>
      </c>
      <c r="R311" s="45"/>
      <c r="S311" s="45">
        <f t="shared" si="53"/>
        <v>3084.32</v>
      </c>
      <c r="T311" s="64">
        <f t="shared" si="49"/>
        <v>3392.7520000000004</v>
      </c>
      <c r="U311" s="65">
        <v>2061.17</v>
      </c>
      <c r="V311" s="65"/>
      <c r="W311" s="21">
        <f t="shared" si="52"/>
        <v>2061.17</v>
      </c>
      <c r="X311" s="22">
        <f t="shared" si="50"/>
        <v>1023.1500000000001</v>
      </c>
      <c r="Y311" s="35">
        <f t="shared" si="51"/>
        <v>0.33172628002282512</v>
      </c>
      <c r="Z311" s="20"/>
      <c r="AA311" s="11"/>
      <c r="AB311" s="20"/>
      <c r="AC311" s="24" t="s">
        <v>73</v>
      </c>
      <c r="AD311" s="10" t="s">
        <v>47</v>
      </c>
      <c r="AE311" s="10">
        <v>43306</v>
      </c>
      <c r="AF311" s="63"/>
      <c r="AG311" s="10">
        <v>43392</v>
      </c>
      <c r="AH311" s="25">
        <f t="shared" si="56"/>
        <v>86</v>
      </c>
      <c r="AK311" s="27"/>
    </row>
    <row r="312" spans="1:37" s="26" customFormat="1" ht="14.25" customHeight="1" x14ac:dyDescent="0.45">
      <c r="A312" s="28" t="s">
        <v>41</v>
      </c>
      <c r="B312" s="8" t="s">
        <v>336</v>
      </c>
      <c r="C312" s="8" t="s">
        <v>36</v>
      </c>
      <c r="D312" s="9" t="s">
        <v>797</v>
      </c>
      <c r="E312" s="9">
        <v>43364</v>
      </c>
      <c r="F312" s="10">
        <v>43340</v>
      </c>
      <c r="G312" s="9">
        <v>43340</v>
      </c>
      <c r="H312" s="77">
        <v>43341</v>
      </c>
      <c r="I312" s="85">
        <v>43356</v>
      </c>
      <c r="J312" s="14">
        <f>G312+14</f>
        <v>43354</v>
      </c>
      <c r="K312" s="14">
        <v>43363</v>
      </c>
      <c r="L312" s="9"/>
      <c r="M312" s="10" t="str">
        <f t="shared" si="47"/>
        <v>Aug-18</v>
      </c>
      <c r="N312" s="10" t="str">
        <f t="shared" si="48"/>
        <v>Sep-18</v>
      </c>
      <c r="O312" s="16" t="s">
        <v>798</v>
      </c>
      <c r="P312" s="18" t="s">
        <v>799</v>
      </c>
      <c r="Q312" s="45">
        <v>1609.29</v>
      </c>
      <c r="R312" s="45">
        <v>3905.92</v>
      </c>
      <c r="S312" s="45">
        <f t="shared" si="53"/>
        <v>5515.21</v>
      </c>
      <c r="T312" s="64">
        <f t="shared" si="49"/>
        <v>6066.7310000000007</v>
      </c>
      <c r="U312" s="65">
        <v>2321.16</v>
      </c>
      <c r="V312" s="65"/>
      <c r="W312" s="21">
        <f t="shared" si="52"/>
        <v>2321.16</v>
      </c>
      <c r="X312" s="22">
        <f t="shared" si="50"/>
        <v>3194.05</v>
      </c>
      <c r="Y312" s="35">
        <f t="shared" si="51"/>
        <v>0.57913479269148416</v>
      </c>
      <c r="Z312" s="20"/>
      <c r="AA312" s="11"/>
      <c r="AB312" s="20"/>
      <c r="AC312" s="24" t="s">
        <v>73</v>
      </c>
      <c r="AD312" s="10" t="s">
        <v>47</v>
      </c>
      <c r="AE312" s="10">
        <v>43306</v>
      </c>
      <c r="AF312" s="63"/>
      <c r="AG312" s="10">
        <v>43378</v>
      </c>
      <c r="AH312" s="25">
        <f t="shared" si="56"/>
        <v>72</v>
      </c>
      <c r="AK312" s="27"/>
    </row>
    <row r="313" spans="1:37" s="26" customFormat="1" ht="14.25" customHeight="1" x14ac:dyDescent="0.45">
      <c r="A313" s="28" t="s">
        <v>41</v>
      </c>
      <c r="B313" s="8" t="s">
        <v>35</v>
      </c>
      <c r="C313" s="8" t="s">
        <v>43</v>
      </c>
      <c r="D313" s="9" t="s">
        <v>800</v>
      </c>
      <c r="E313" s="9">
        <v>43439</v>
      </c>
      <c r="F313" s="10">
        <v>43378</v>
      </c>
      <c r="G313" s="11">
        <v>43378</v>
      </c>
      <c r="H313" s="15">
        <v>43381</v>
      </c>
      <c r="I313" s="49">
        <v>43418</v>
      </c>
      <c r="J313" s="14">
        <f>G313+14</f>
        <v>43392</v>
      </c>
      <c r="K313" s="15">
        <v>43440</v>
      </c>
      <c r="L313" s="9"/>
      <c r="M313" s="10" t="str">
        <f t="shared" si="47"/>
        <v>Oct-18</v>
      </c>
      <c r="N313" s="10" t="str">
        <f t="shared" si="48"/>
        <v>Dec-18</v>
      </c>
      <c r="O313" s="16" t="s">
        <v>801</v>
      </c>
      <c r="P313" s="18" t="s">
        <v>302</v>
      </c>
      <c r="Q313" s="45">
        <v>6228.33</v>
      </c>
      <c r="R313" s="45">
        <v>5347.31</v>
      </c>
      <c r="S313" s="45">
        <f t="shared" si="53"/>
        <v>11575.64</v>
      </c>
      <c r="T313" s="64">
        <f t="shared" si="49"/>
        <v>12733.204</v>
      </c>
      <c r="U313" s="65">
        <v>4454.87</v>
      </c>
      <c r="V313" s="65"/>
      <c r="W313" s="21">
        <f t="shared" si="52"/>
        <v>4454.87</v>
      </c>
      <c r="X313" s="22">
        <f t="shared" si="50"/>
        <v>7120.7699999999995</v>
      </c>
      <c r="Y313" s="35">
        <f t="shared" si="51"/>
        <v>0.61515130048964894</v>
      </c>
      <c r="Z313" s="20"/>
      <c r="AA313" s="11"/>
      <c r="AB313" s="20"/>
      <c r="AC313" s="24" t="s">
        <v>73</v>
      </c>
      <c r="AD313" s="10" t="s">
        <v>47</v>
      </c>
      <c r="AE313" s="10">
        <v>43280</v>
      </c>
      <c r="AF313" s="48"/>
      <c r="AG313" s="10">
        <v>43371</v>
      </c>
      <c r="AH313" s="25">
        <f t="shared" si="56"/>
        <v>91</v>
      </c>
      <c r="AK313" s="27"/>
    </row>
    <row r="314" spans="1:37" s="26" customFormat="1" ht="14.25" customHeight="1" x14ac:dyDescent="0.45">
      <c r="A314" s="28" t="s">
        <v>802</v>
      </c>
      <c r="B314" s="8" t="s">
        <v>129</v>
      </c>
      <c r="C314" s="8" t="s">
        <v>36</v>
      </c>
      <c r="D314" s="9" t="s">
        <v>803</v>
      </c>
      <c r="E314" s="9">
        <v>43439</v>
      </c>
      <c r="F314" s="10">
        <v>43402</v>
      </c>
      <c r="G314" s="11">
        <v>43402</v>
      </c>
      <c r="H314" s="14">
        <v>43413</v>
      </c>
      <c r="I314" s="54">
        <v>43424</v>
      </c>
      <c r="J314" s="15">
        <v>43430</v>
      </c>
      <c r="K314" s="14">
        <v>43438</v>
      </c>
      <c r="L314" s="9"/>
      <c r="M314" s="10" t="str">
        <f t="shared" si="47"/>
        <v>Oct-18</v>
      </c>
      <c r="N314" s="10" t="str">
        <f t="shared" si="48"/>
        <v>Dec-18</v>
      </c>
      <c r="O314" s="130" t="s">
        <v>804</v>
      </c>
      <c r="P314" s="131" t="s">
        <v>734</v>
      </c>
      <c r="Q314" s="45">
        <v>16698.66</v>
      </c>
      <c r="R314" s="45">
        <v>5659.37</v>
      </c>
      <c r="S314" s="45">
        <f t="shared" si="53"/>
        <v>22358.03</v>
      </c>
      <c r="T314" s="64">
        <f t="shared" si="49"/>
        <v>24593.833000000002</v>
      </c>
      <c r="U314" s="65"/>
      <c r="V314" s="65"/>
      <c r="W314" s="21">
        <f t="shared" si="52"/>
        <v>0</v>
      </c>
      <c r="X314" s="22">
        <f t="shared" si="50"/>
        <v>22358.03</v>
      </c>
      <c r="Y314" s="35">
        <f t="shared" si="51"/>
        <v>1</v>
      </c>
      <c r="Z314" s="20"/>
      <c r="AA314" s="11"/>
      <c r="AB314" s="20"/>
      <c r="AC314" s="24" t="s">
        <v>128</v>
      </c>
      <c r="AD314" s="10">
        <v>43307</v>
      </c>
      <c r="AE314" s="10">
        <v>43313</v>
      </c>
      <c r="AF314" s="63">
        <f>AE314-AD314</f>
        <v>6</v>
      </c>
      <c r="AG314" s="10">
        <v>43409</v>
      </c>
      <c r="AH314" s="25">
        <f t="shared" si="56"/>
        <v>96</v>
      </c>
      <c r="AK314" s="27"/>
    </row>
    <row r="315" spans="1:37" s="26" customFormat="1" ht="14.25" customHeight="1" x14ac:dyDescent="0.45">
      <c r="A315" s="8" t="s">
        <v>805</v>
      </c>
      <c r="B315" s="8" t="s">
        <v>42</v>
      </c>
      <c r="C315" s="8" t="s">
        <v>36</v>
      </c>
      <c r="D315" s="9"/>
      <c r="E315" s="9"/>
      <c r="F315" s="10"/>
      <c r="G315" s="11">
        <v>43646</v>
      </c>
      <c r="H315" s="51"/>
      <c r="I315" s="52"/>
      <c r="J315" s="51"/>
      <c r="K315" s="51"/>
      <c r="L315" s="9"/>
      <c r="M315" s="10" t="str">
        <f t="shared" si="47"/>
        <v>Jun-19</v>
      </c>
      <c r="N315" s="10" t="str">
        <f t="shared" si="48"/>
        <v>Jan-00</v>
      </c>
      <c r="O315" s="50" t="s">
        <v>806</v>
      </c>
      <c r="P315" s="50" t="s">
        <v>244</v>
      </c>
      <c r="Q315" s="45">
        <v>960</v>
      </c>
      <c r="R315" s="45"/>
      <c r="S315" s="45">
        <f t="shared" si="53"/>
        <v>960</v>
      </c>
      <c r="T315" s="64">
        <f t="shared" si="49"/>
        <v>1056</v>
      </c>
      <c r="U315" s="65"/>
      <c r="V315" s="65"/>
      <c r="W315" s="21">
        <f t="shared" si="52"/>
        <v>0</v>
      </c>
      <c r="X315" s="22">
        <f t="shared" si="50"/>
        <v>960</v>
      </c>
      <c r="Y315" s="35">
        <f t="shared" si="51"/>
        <v>1</v>
      </c>
      <c r="Z315" s="20"/>
      <c r="AA315" s="11"/>
      <c r="AB315" s="20"/>
      <c r="AC315" s="24" t="s">
        <v>69</v>
      </c>
      <c r="AD315" s="10">
        <v>43311</v>
      </c>
      <c r="AE315" s="10">
        <v>43318</v>
      </c>
      <c r="AF315" s="63">
        <f>AE315-AD315</f>
        <v>7</v>
      </c>
      <c r="AG315" s="10">
        <v>43346</v>
      </c>
      <c r="AH315" s="25">
        <f t="shared" si="56"/>
        <v>28</v>
      </c>
      <c r="AK315" s="27"/>
    </row>
    <row r="316" spans="1:37" s="26" customFormat="1" ht="14.25" customHeight="1" x14ac:dyDescent="0.45">
      <c r="A316" s="8" t="s">
        <v>34</v>
      </c>
      <c r="B316" s="8" t="s">
        <v>357</v>
      </c>
      <c r="C316" s="8" t="s">
        <v>57</v>
      </c>
      <c r="D316" s="9" t="s">
        <v>807</v>
      </c>
      <c r="E316" s="9">
        <v>43391</v>
      </c>
      <c r="F316" s="10">
        <v>43370</v>
      </c>
      <c r="G316" s="11">
        <v>43370</v>
      </c>
      <c r="H316" s="14">
        <v>43370</v>
      </c>
      <c r="I316" s="54">
        <v>43384</v>
      </c>
      <c r="J316" s="77">
        <v>43385</v>
      </c>
      <c r="K316" s="51">
        <v>43391</v>
      </c>
      <c r="L316" s="9"/>
      <c r="M316" s="10" t="str">
        <f t="shared" si="47"/>
        <v>Sep-18</v>
      </c>
      <c r="N316" s="10" t="str">
        <f t="shared" si="48"/>
        <v>Oct-18</v>
      </c>
      <c r="O316" s="50" t="s">
        <v>808</v>
      </c>
      <c r="P316" s="50" t="s">
        <v>779</v>
      </c>
      <c r="Q316" s="45">
        <v>960</v>
      </c>
      <c r="R316" s="45">
        <v>1390.8064025000001</v>
      </c>
      <c r="S316" s="45">
        <f t="shared" si="53"/>
        <v>2350.8064025000003</v>
      </c>
      <c r="T316" s="64">
        <f t="shared" si="49"/>
        <v>2585.8870427500005</v>
      </c>
      <c r="U316" s="65"/>
      <c r="V316" s="65">
        <v>465.84</v>
      </c>
      <c r="W316" s="21">
        <f t="shared" si="52"/>
        <v>465.84</v>
      </c>
      <c r="X316" s="22">
        <f t="shared" si="50"/>
        <v>1884.9664025000004</v>
      </c>
      <c r="Y316" s="35">
        <f t="shared" si="51"/>
        <v>0.80183821198351535</v>
      </c>
      <c r="Z316" s="20"/>
      <c r="AA316" s="11"/>
      <c r="AB316" s="20"/>
      <c r="AC316" s="24" t="s">
        <v>69</v>
      </c>
      <c r="AD316" s="10">
        <v>43311</v>
      </c>
      <c r="AE316" s="10">
        <v>43315</v>
      </c>
      <c r="AF316" s="63">
        <f>AE316-AD316</f>
        <v>4</v>
      </c>
      <c r="AG316" s="10">
        <v>43423</v>
      </c>
      <c r="AH316" s="25">
        <f t="shared" si="56"/>
        <v>108</v>
      </c>
      <c r="AK316" s="27"/>
    </row>
    <row r="317" spans="1:37" s="26" customFormat="1" ht="14.25" customHeight="1" x14ac:dyDescent="0.45">
      <c r="A317" s="8" t="s">
        <v>805</v>
      </c>
      <c r="B317" s="8" t="s">
        <v>65</v>
      </c>
      <c r="C317" s="8" t="s">
        <v>36</v>
      </c>
      <c r="D317" s="9"/>
      <c r="E317" s="9"/>
      <c r="F317" s="10"/>
      <c r="G317" s="11">
        <v>43524</v>
      </c>
      <c r="H317" s="51"/>
      <c r="I317" s="52"/>
      <c r="J317" s="51"/>
      <c r="K317" s="51"/>
      <c r="L317" s="9"/>
      <c r="M317" s="10" t="str">
        <f t="shared" si="47"/>
        <v>Feb-19</v>
      </c>
      <c r="N317" s="10" t="str">
        <f t="shared" si="48"/>
        <v>Jan-00</v>
      </c>
      <c r="O317" s="50" t="s">
        <v>809</v>
      </c>
      <c r="P317" s="50" t="s">
        <v>810</v>
      </c>
      <c r="Q317" s="45">
        <v>960</v>
      </c>
      <c r="R317" s="45"/>
      <c r="S317" s="45">
        <f t="shared" si="53"/>
        <v>960</v>
      </c>
      <c r="T317" s="64">
        <f t="shared" si="49"/>
        <v>1056</v>
      </c>
      <c r="U317" s="65">
        <v>4934.3099999999995</v>
      </c>
      <c r="V317" s="65"/>
      <c r="W317" s="21">
        <f t="shared" si="52"/>
        <v>4934.3099999999995</v>
      </c>
      <c r="X317" s="79">
        <f t="shared" si="50"/>
        <v>-3974.3099999999995</v>
      </c>
      <c r="Y317" s="80">
        <f t="shared" si="51"/>
        <v>-4.1399062499999992</v>
      </c>
      <c r="Z317" s="20"/>
      <c r="AA317" s="11"/>
      <c r="AB317" s="20"/>
      <c r="AC317" s="24" t="s">
        <v>69</v>
      </c>
      <c r="AD317" s="10">
        <v>43311</v>
      </c>
      <c r="AE317" s="10">
        <v>43318</v>
      </c>
      <c r="AF317" s="63">
        <f>AE317-AD317</f>
        <v>7</v>
      </c>
      <c r="AG317" s="10">
        <v>43423</v>
      </c>
      <c r="AH317" s="25">
        <f t="shared" si="56"/>
        <v>105</v>
      </c>
      <c r="AK317" s="27"/>
    </row>
    <row r="318" spans="1:37" s="26" customFormat="1" ht="14.25" customHeight="1" x14ac:dyDescent="0.45">
      <c r="A318" s="28" t="s">
        <v>41</v>
      </c>
      <c r="B318" s="8" t="s">
        <v>35</v>
      </c>
      <c r="C318" s="8" t="s">
        <v>36</v>
      </c>
      <c r="D318" s="9" t="s">
        <v>750</v>
      </c>
      <c r="E318" s="132"/>
      <c r="F318" s="10">
        <v>43383</v>
      </c>
      <c r="G318" s="11">
        <v>43383</v>
      </c>
      <c r="H318" s="15">
        <v>43389</v>
      </c>
      <c r="I318" s="49">
        <v>43418</v>
      </c>
      <c r="J318" s="14">
        <f>G318+14</f>
        <v>43397</v>
      </c>
      <c r="K318" s="77">
        <f>I318+14</f>
        <v>43432</v>
      </c>
      <c r="L318" s="9"/>
      <c r="M318" s="10" t="str">
        <f t="shared" si="47"/>
        <v>Oct-18</v>
      </c>
      <c r="N318" s="10" t="str">
        <f t="shared" si="48"/>
        <v>Nov-18</v>
      </c>
      <c r="O318" s="16" t="s">
        <v>811</v>
      </c>
      <c r="P318" s="18" t="s">
        <v>812</v>
      </c>
      <c r="Q318" s="45">
        <v>2123.65</v>
      </c>
      <c r="R318" s="45">
        <v>8407.02</v>
      </c>
      <c r="S318" s="45">
        <f t="shared" si="53"/>
        <v>10530.67</v>
      </c>
      <c r="T318" s="64">
        <f t="shared" si="49"/>
        <v>11583.737000000001</v>
      </c>
      <c r="U318" s="65"/>
      <c r="V318" s="65"/>
      <c r="W318" s="21">
        <f t="shared" si="52"/>
        <v>0</v>
      </c>
      <c r="X318" s="22">
        <f t="shared" si="50"/>
        <v>10530.67</v>
      </c>
      <c r="Y318" s="35">
        <f t="shared" si="51"/>
        <v>1</v>
      </c>
      <c r="Z318" s="20"/>
      <c r="AA318" s="11">
        <f>G318+14</f>
        <v>43397</v>
      </c>
      <c r="AB318" s="20"/>
      <c r="AC318" s="24" t="s">
        <v>73</v>
      </c>
      <c r="AD318" s="10" t="s">
        <v>47</v>
      </c>
      <c r="AE318" s="10">
        <v>43286</v>
      </c>
      <c r="AF318" s="48"/>
      <c r="AG318" s="10">
        <v>43371</v>
      </c>
      <c r="AH318" s="25">
        <f t="shared" si="56"/>
        <v>85</v>
      </c>
      <c r="AK318" s="27"/>
    </row>
    <row r="319" spans="1:37" s="26" customFormat="1" ht="14.25" customHeight="1" x14ac:dyDescent="0.45">
      <c r="A319" s="28" t="s">
        <v>41</v>
      </c>
      <c r="B319" s="8" t="s">
        <v>100</v>
      </c>
      <c r="C319" s="8" t="s">
        <v>36</v>
      </c>
      <c r="D319" s="9" t="s">
        <v>813</v>
      </c>
      <c r="E319" s="9">
        <v>43433</v>
      </c>
      <c r="F319" s="10">
        <v>43381</v>
      </c>
      <c r="G319" s="110">
        <v>43381</v>
      </c>
      <c r="H319" s="15">
        <v>43382</v>
      </c>
      <c r="I319" s="49">
        <v>43418</v>
      </c>
      <c r="J319" s="14">
        <f>G319+14</f>
        <v>43395</v>
      </c>
      <c r="K319" s="77">
        <v>43433</v>
      </c>
      <c r="L319" s="9"/>
      <c r="M319" s="10" t="str">
        <f t="shared" si="47"/>
        <v>Oct-18</v>
      </c>
      <c r="N319" s="10" t="str">
        <f t="shared" si="48"/>
        <v>Nov-18</v>
      </c>
      <c r="O319" s="16" t="s">
        <v>814</v>
      </c>
      <c r="P319" s="18" t="s">
        <v>815</v>
      </c>
      <c r="Q319" s="45">
        <v>172.2</v>
      </c>
      <c r="R319" s="45">
        <v>8427.44</v>
      </c>
      <c r="S319" s="45">
        <f t="shared" si="53"/>
        <v>8599.6400000000012</v>
      </c>
      <c r="T319" s="64">
        <f t="shared" si="49"/>
        <v>9459.604000000003</v>
      </c>
      <c r="U319" s="65">
        <v>2472.8000000000002</v>
      </c>
      <c r="V319" s="65"/>
      <c r="W319" s="21">
        <f t="shared" si="52"/>
        <v>2472.8000000000002</v>
      </c>
      <c r="X319" s="22">
        <f t="shared" si="50"/>
        <v>6126.8400000000011</v>
      </c>
      <c r="Y319" s="35">
        <f t="shared" si="51"/>
        <v>0.71245307943123204</v>
      </c>
      <c r="Z319" s="20"/>
      <c r="AA319" s="11"/>
      <c r="AB319" s="20"/>
      <c r="AC319" s="24" t="s">
        <v>73</v>
      </c>
      <c r="AD319" s="10" t="s">
        <v>47</v>
      </c>
      <c r="AE319" s="10">
        <v>43300</v>
      </c>
      <c r="AF319" s="63"/>
      <c r="AG319" s="10">
        <v>43390</v>
      </c>
      <c r="AH319" s="25">
        <f t="shared" si="56"/>
        <v>90</v>
      </c>
      <c r="AK319" s="27"/>
    </row>
    <row r="320" spans="1:37" s="26" customFormat="1" ht="14.25" customHeight="1" x14ac:dyDescent="0.45">
      <c r="A320" s="28" t="s">
        <v>41</v>
      </c>
      <c r="B320" s="8" t="s">
        <v>100</v>
      </c>
      <c r="C320" s="8" t="s">
        <v>36</v>
      </c>
      <c r="D320" s="9" t="s">
        <v>816</v>
      </c>
      <c r="E320" s="9">
        <v>43798</v>
      </c>
      <c r="F320" s="10">
        <v>43388</v>
      </c>
      <c r="G320" s="110">
        <v>43388</v>
      </c>
      <c r="H320" s="15">
        <v>43388</v>
      </c>
      <c r="I320" s="49">
        <v>43418</v>
      </c>
      <c r="J320" s="14">
        <f>G320+14</f>
        <v>43402</v>
      </c>
      <c r="K320" s="77">
        <v>43433</v>
      </c>
      <c r="L320" s="9"/>
      <c r="M320" s="10" t="str">
        <f t="shared" si="47"/>
        <v>Oct-18</v>
      </c>
      <c r="N320" s="10" t="str">
        <f t="shared" si="48"/>
        <v>Nov-18</v>
      </c>
      <c r="O320" s="16" t="s">
        <v>817</v>
      </c>
      <c r="P320" s="18" t="s">
        <v>818</v>
      </c>
      <c r="Q320" s="45">
        <v>2786.87</v>
      </c>
      <c r="R320" s="45">
        <v>4481.6041460000006</v>
      </c>
      <c r="S320" s="45">
        <f t="shared" si="53"/>
        <v>7268.4741460000005</v>
      </c>
      <c r="T320" s="64">
        <f t="shared" si="49"/>
        <v>7995.3215606000012</v>
      </c>
      <c r="U320" s="65">
        <v>3640</v>
      </c>
      <c r="V320" s="65"/>
      <c r="W320" s="21">
        <f t="shared" si="52"/>
        <v>3640</v>
      </c>
      <c r="X320" s="22">
        <f t="shared" si="50"/>
        <v>3628.4741460000005</v>
      </c>
      <c r="Y320" s="35">
        <f t="shared" si="51"/>
        <v>0.49920713386547971</v>
      </c>
      <c r="Z320" s="20"/>
      <c r="AA320" s="11"/>
      <c r="AB320" s="20"/>
      <c r="AC320" s="24" t="s">
        <v>73</v>
      </c>
      <c r="AD320" s="10" t="s">
        <v>47</v>
      </c>
      <c r="AE320" s="10">
        <v>43306</v>
      </c>
      <c r="AF320" s="63"/>
      <c r="AG320" s="10">
        <v>43393</v>
      </c>
      <c r="AH320" s="25">
        <f t="shared" si="56"/>
        <v>87</v>
      </c>
      <c r="AK320" s="27"/>
    </row>
    <row r="321" spans="1:37" s="26" customFormat="1" ht="14.25" customHeight="1" x14ac:dyDescent="0.45">
      <c r="A321" s="28" t="s">
        <v>41</v>
      </c>
      <c r="B321" s="8" t="s">
        <v>129</v>
      </c>
      <c r="C321" s="8" t="s">
        <v>57</v>
      </c>
      <c r="D321" s="9"/>
      <c r="E321" s="9"/>
      <c r="F321" s="10">
        <v>43388</v>
      </c>
      <c r="G321" s="110">
        <v>43388</v>
      </c>
      <c r="H321" s="14">
        <v>43389</v>
      </c>
      <c r="I321" s="54">
        <v>43397</v>
      </c>
      <c r="J321" s="14">
        <v>43399</v>
      </c>
      <c r="K321" s="14">
        <v>43410</v>
      </c>
      <c r="L321" s="9"/>
      <c r="M321" s="10" t="str">
        <f t="shared" si="47"/>
        <v>Oct-18</v>
      </c>
      <c r="N321" s="10" t="str">
        <f t="shared" si="48"/>
        <v>Nov-18</v>
      </c>
      <c r="O321" s="16" t="s">
        <v>819</v>
      </c>
      <c r="P321" s="18" t="s">
        <v>604</v>
      </c>
      <c r="Q321" s="45">
        <v>970.55</v>
      </c>
      <c r="R321" s="45">
        <v>-153.99</v>
      </c>
      <c r="S321" s="45">
        <f t="shared" si="53"/>
        <v>816.56</v>
      </c>
      <c r="T321" s="64">
        <f t="shared" si="49"/>
        <v>898.21600000000001</v>
      </c>
      <c r="U321" s="65"/>
      <c r="V321" s="65">
        <v>390</v>
      </c>
      <c r="W321" s="21">
        <f t="shared" si="52"/>
        <v>390</v>
      </c>
      <c r="X321" s="22">
        <f t="shared" si="50"/>
        <v>426.55999999999995</v>
      </c>
      <c r="Y321" s="35">
        <f t="shared" si="51"/>
        <v>0.52238659743313409</v>
      </c>
      <c r="Z321" s="20"/>
      <c r="AA321" s="11"/>
      <c r="AB321" s="20"/>
      <c r="AC321" s="24" t="s">
        <v>73</v>
      </c>
      <c r="AD321" s="10" t="s">
        <v>47</v>
      </c>
      <c r="AE321" s="10">
        <v>43312</v>
      </c>
      <c r="AF321" s="63"/>
      <c r="AG321" s="10">
        <v>43412</v>
      </c>
      <c r="AH321" s="25">
        <f t="shared" si="56"/>
        <v>100</v>
      </c>
      <c r="AK321" s="27"/>
    </row>
    <row r="322" spans="1:37" s="26" customFormat="1" ht="14.25" customHeight="1" x14ac:dyDescent="0.45">
      <c r="A322" s="28" t="s">
        <v>41</v>
      </c>
      <c r="B322" s="8" t="s">
        <v>512</v>
      </c>
      <c r="C322" s="28" t="s">
        <v>43</v>
      </c>
      <c r="D322" s="9"/>
      <c r="E322" s="9"/>
      <c r="F322" s="10"/>
      <c r="G322" s="11">
        <v>43524</v>
      </c>
      <c r="H322" s="51"/>
      <c r="I322" s="52"/>
      <c r="J322" s="51"/>
      <c r="K322" s="51"/>
      <c r="L322" s="9"/>
      <c r="M322" s="10" t="str">
        <f t="shared" ref="M322:M385" si="57">TEXT(G322,"mmm-yy")</f>
        <v>Feb-19</v>
      </c>
      <c r="N322" s="10" t="str">
        <f t="shared" ref="N322:N385" si="58">TEXT(K322,"mmm-yy")</f>
        <v>Jan-00</v>
      </c>
      <c r="O322" s="16" t="s">
        <v>820</v>
      </c>
      <c r="P322" s="18" t="s">
        <v>821</v>
      </c>
      <c r="Q322" s="45">
        <v>2014.04</v>
      </c>
      <c r="R322" s="45"/>
      <c r="S322" s="45">
        <f t="shared" si="53"/>
        <v>2014.04</v>
      </c>
      <c r="T322" s="64">
        <f t="shared" ref="T322:T385" si="59">S322*1.1</f>
        <v>2215.444</v>
      </c>
      <c r="U322" s="65">
        <v>1609.84</v>
      </c>
      <c r="V322" s="65"/>
      <c r="W322" s="78">
        <f t="shared" si="52"/>
        <v>1609.84</v>
      </c>
      <c r="X322" s="79">
        <f t="shared" ref="X322:X385" si="60">S322-W322</f>
        <v>404.20000000000005</v>
      </c>
      <c r="Y322" s="80">
        <f t="shared" ref="Y322:Y385" si="61">X322/S322</f>
        <v>0.20069114814005684</v>
      </c>
      <c r="Z322" s="20"/>
      <c r="AA322" s="11"/>
      <c r="AB322" s="20"/>
      <c r="AC322" s="24" t="s">
        <v>73</v>
      </c>
      <c r="AD322" s="10" t="s">
        <v>47</v>
      </c>
      <c r="AE322" s="10">
        <v>43318</v>
      </c>
      <c r="AF322" s="63"/>
      <c r="AG322" s="10">
        <v>43403</v>
      </c>
      <c r="AH322" s="25">
        <f t="shared" si="56"/>
        <v>85</v>
      </c>
      <c r="AK322" s="27"/>
    </row>
    <row r="323" spans="1:37" s="26" customFormat="1" ht="14.25" customHeight="1" x14ac:dyDescent="0.45">
      <c r="A323" s="28" t="s">
        <v>41</v>
      </c>
      <c r="B323" s="8" t="s">
        <v>42</v>
      </c>
      <c r="C323" s="28" t="s">
        <v>43</v>
      </c>
      <c r="D323" s="9"/>
      <c r="E323" s="9"/>
      <c r="F323" s="10"/>
      <c r="G323" s="11">
        <v>43738</v>
      </c>
      <c r="H323" s="51"/>
      <c r="I323" s="52"/>
      <c r="J323" s="51"/>
      <c r="K323" s="51"/>
      <c r="L323" s="9"/>
      <c r="M323" s="10" t="str">
        <f t="shared" si="57"/>
        <v>Sep-19</v>
      </c>
      <c r="N323" s="10" t="str">
        <f t="shared" si="58"/>
        <v>Jan-00</v>
      </c>
      <c r="O323" s="16" t="s">
        <v>822</v>
      </c>
      <c r="P323" s="18" t="s">
        <v>81</v>
      </c>
      <c r="Q323" s="45">
        <v>6449.44</v>
      </c>
      <c r="R323" s="45"/>
      <c r="S323" s="45">
        <f t="shared" si="53"/>
        <v>6449.44</v>
      </c>
      <c r="T323" s="64">
        <f t="shared" si="59"/>
        <v>7094.384</v>
      </c>
      <c r="U323" s="65"/>
      <c r="V323" s="65"/>
      <c r="W323" s="21">
        <f t="shared" si="52"/>
        <v>0</v>
      </c>
      <c r="X323" s="22">
        <f t="shared" si="60"/>
        <v>6449.44</v>
      </c>
      <c r="Y323" s="35">
        <f t="shared" si="61"/>
        <v>1</v>
      </c>
      <c r="Z323" s="20"/>
      <c r="AA323" s="11"/>
      <c r="AB323" s="20"/>
      <c r="AC323" s="24" t="s">
        <v>69</v>
      </c>
      <c r="AD323" s="10" t="s">
        <v>47</v>
      </c>
      <c r="AE323" s="10">
        <v>43319</v>
      </c>
      <c r="AF323" s="63"/>
      <c r="AG323" s="10">
        <v>43406</v>
      </c>
      <c r="AH323" s="25">
        <f t="shared" si="56"/>
        <v>87</v>
      </c>
      <c r="AK323" s="27"/>
    </row>
    <row r="324" spans="1:37" s="26" customFormat="1" ht="14.25" customHeight="1" x14ac:dyDescent="0.45">
      <c r="A324" s="28" t="s">
        <v>41</v>
      </c>
      <c r="B324" s="8" t="s">
        <v>35</v>
      </c>
      <c r="C324" s="8" t="s">
        <v>36</v>
      </c>
      <c r="D324" s="9" t="s">
        <v>823</v>
      </c>
      <c r="E324" s="9">
        <v>43369</v>
      </c>
      <c r="F324" s="10">
        <v>43343</v>
      </c>
      <c r="G324" s="10">
        <v>43343</v>
      </c>
      <c r="H324" s="14">
        <v>43346</v>
      </c>
      <c r="I324" s="54">
        <v>43360</v>
      </c>
      <c r="J324" s="14">
        <f>F324+14</f>
        <v>43357</v>
      </c>
      <c r="K324" s="14">
        <v>43370</v>
      </c>
      <c r="L324" s="9"/>
      <c r="M324" s="10" t="str">
        <f t="shared" si="57"/>
        <v>Aug-18</v>
      </c>
      <c r="N324" s="10" t="str">
        <f t="shared" si="58"/>
        <v>Sep-18</v>
      </c>
      <c r="O324" s="16" t="s">
        <v>824</v>
      </c>
      <c r="P324" s="18" t="s">
        <v>81</v>
      </c>
      <c r="Q324" s="45">
        <v>1481.08</v>
      </c>
      <c r="R324" s="45">
        <v>400.91</v>
      </c>
      <c r="S324" s="45">
        <f t="shared" si="53"/>
        <v>1881.99</v>
      </c>
      <c r="T324" s="64">
        <f t="shared" si="59"/>
        <v>2070.1890000000003</v>
      </c>
      <c r="U324" s="65"/>
      <c r="V324" s="65"/>
      <c r="W324" s="21">
        <f t="shared" si="52"/>
        <v>0</v>
      </c>
      <c r="X324" s="22">
        <f t="shared" si="60"/>
        <v>1881.99</v>
      </c>
      <c r="Y324" s="35">
        <f t="shared" si="61"/>
        <v>1</v>
      </c>
      <c r="Z324" s="20"/>
      <c r="AA324" s="11"/>
      <c r="AB324" s="20"/>
      <c r="AC324" s="24" t="s">
        <v>73</v>
      </c>
      <c r="AD324" s="10" t="s">
        <v>47</v>
      </c>
      <c r="AE324" s="10">
        <v>43319</v>
      </c>
      <c r="AF324" s="63"/>
      <c r="AG324" s="10">
        <v>43406</v>
      </c>
      <c r="AH324" s="25">
        <f t="shared" si="56"/>
        <v>87</v>
      </c>
      <c r="AK324" s="27"/>
    </row>
    <row r="325" spans="1:37" s="26" customFormat="1" ht="14.25" customHeight="1" x14ac:dyDescent="0.45">
      <c r="A325" s="28" t="s">
        <v>41</v>
      </c>
      <c r="B325" s="8" t="s">
        <v>336</v>
      </c>
      <c r="C325" s="8" t="s">
        <v>36</v>
      </c>
      <c r="D325" s="9" t="s">
        <v>825</v>
      </c>
      <c r="E325" s="9">
        <v>43364</v>
      </c>
      <c r="F325" s="10">
        <v>43340</v>
      </c>
      <c r="G325" s="11">
        <v>43340</v>
      </c>
      <c r="H325" s="67"/>
      <c r="I325" s="68"/>
      <c r="J325" s="77">
        <f>G325+14</f>
        <v>43354</v>
      </c>
      <c r="K325" s="14">
        <v>43363</v>
      </c>
      <c r="L325" s="9"/>
      <c r="M325" s="10" t="str">
        <f t="shared" si="57"/>
        <v>Aug-18</v>
      </c>
      <c r="N325" s="10" t="str">
        <f t="shared" si="58"/>
        <v>Sep-18</v>
      </c>
      <c r="O325" s="16" t="s">
        <v>826</v>
      </c>
      <c r="P325" s="18" t="s">
        <v>827</v>
      </c>
      <c r="Q325" s="45">
        <v>3760.18</v>
      </c>
      <c r="R325" s="73"/>
      <c r="S325" s="45">
        <f t="shared" si="53"/>
        <v>3760.18</v>
      </c>
      <c r="T325" s="64">
        <f t="shared" si="59"/>
        <v>4136.1980000000003</v>
      </c>
      <c r="U325" s="65">
        <v>1040.76</v>
      </c>
      <c r="V325" s="65">
        <v>202.86799999999999</v>
      </c>
      <c r="W325" s="21">
        <f t="shared" si="52"/>
        <v>1243.6279999999999</v>
      </c>
      <c r="X325" s="22">
        <f t="shared" si="60"/>
        <v>2516.5519999999997</v>
      </c>
      <c r="Y325" s="35">
        <f t="shared" si="61"/>
        <v>0.66926370546090874</v>
      </c>
      <c r="Z325" s="20"/>
      <c r="AA325" s="11"/>
      <c r="AB325" s="20"/>
      <c r="AC325" s="24" t="s">
        <v>73</v>
      </c>
      <c r="AD325" s="10" t="s">
        <v>47</v>
      </c>
      <c r="AE325" s="10">
        <v>43319</v>
      </c>
      <c r="AF325" s="63"/>
      <c r="AG325" s="10">
        <v>43406</v>
      </c>
      <c r="AH325" s="25">
        <f t="shared" si="56"/>
        <v>87</v>
      </c>
      <c r="AK325" s="27"/>
    </row>
    <row r="326" spans="1:37" s="26" customFormat="1" ht="14.25" customHeight="1" x14ac:dyDescent="0.45">
      <c r="A326" s="28" t="s">
        <v>41</v>
      </c>
      <c r="B326" s="8" t="s">
        <v>357</v>
      </c>
      <c r="C326" s="8" t="s">
        <v>57</v>
      </c>
      <c r="D326" s="9"/>
      <c r="E326" s="9"/>
      <c r="F326" s="10"/>
      <c r="G326" s="10">
        <v>43585</v>
      </c>
      <c r="H326" s="51"/>
      <c r="I326" s="52"/>
      <c r="J326" s="51"/>
      <c r="K326" s="51"/>
      <c r="L326" s="9"/>
      <c r="M326" s="10" t="str">
        <f t="shared" si="57"/>
        <v>Apr-19</v>
      </c>
      <c r="N326" s="10" t="str">
        <f t="shared" si="58"/>
        <v>Jan-00</v>
      </c>
      <c r="O326" s="16" t="s">
        <v>828</v>
      </c>
      <c r="P326" s="18" t="s">
        <v>532</v>
      </c>
      <c r="Q326" s="45">
        <v>3855.46</v>
      </c>
      <c r="R326" s="45"/>
      <c r="S326" s="45">
        <f t="shared" si="53"/>
        <v>3855.46</v>
      </c>
      <c r="T326" s="64">
        <f t="shared" si="59"/>
        <v>4241.0060000000003</v>
      </c>
      <c r="U326" s="65"/>
      <c r="V326" s="65"/>
      <c r="W326" s="21">
        <f t="shared" ref="W326:W389" si="62">SUM(U326:V326)</f>
        <v>0</v>
      </c>
      <c r="X326" s="22">
        <f t="shared" si="60"/>
        <v>3855.46</v>
      </c>
      <c r="Y326" s="35">
        <f t="shared" si="61"/>
        <v>1</v>
      </c>
      <c r="Z326" s="20"/>
      <c r="AA326" s="11"/>
      <c r="AB326" s="20"/>
      <c r="AC326" s="24" t="s">
        <v>73</v>
      </c>
      <c r="AD326" s="10" t="s">
        <v>47</v>
      </c>
      <c r="AE326" s="10">
        <v>43321</v>
      </c>
      <c r="AF326" s="63"/>
      <c r="AG326" s="10">
        <v>43404</v>
      </c>
      <c r="AH326" s="25">
        <f t="shared" si="56"/>
        <v>83</v>
      </c>
      <c r="AK326" s="27"/>
    </row>
    <row r="327" spans="1:37" s="26" customFormat="1" ht="14.25" customHeight="1" x14ac:dyDescent="0.45">
      <c r="A327" s="28" t="s">
        <v>41</v>
      </c>
      <c r="B327" s="8" t="s">
        <v>35</v>
      </c>
      <c r="C327" s="8" t="s">
        <v>36</v>
      </c>
      <c r="D327" s="9" t="s">
        <v>829</v>
      </c>
      <c r="E327" s="9">
        <v>43369</v>
      </c>
      <c r="F327" s="10">
        <v>43347</v>
      </c>
      <c r="G327" s="10">
        <v>43347</v>
      </c>
      <c r="H327" s="14">
        <v>43349</v>
      </c>
      <c r="I327" s="54">
        <v>43360</v>
      </c>
      <c r="J327" s="14">
        <f>G327+14</f>
        <v>43361</v>
      </c>
      <c r="K327" s="14">
        <v>43370</v>
      </c>
      <c r="L327" s="9"/>
      <c r="M327" s="10" t="str">
        <f t="shared" si="57"/>
        <v>Sep-18</v>
      </c>
      <c r="N327" s="10" t="str">
        <f t="shared" si="58"/>
        <v>Sep-18</v>
      </c>
      <c r="O327" s="16" t="s">
        <v>830</v>
      </c>
      <c r="P327" s="18" t="s">
        <v>81</v>
      </c>
      <c r="Q327" s="45">
        <v>638.4</v>
      </c>
      <c r="R327" s="45">
        <v>16565.93</v>
      </c>
      <c r="S327" s="45">
        <f t="shared" si="53"/>
        <v>17204.330000000002</v>
      </c>
      <c r="T327" s="64">
        <f t="shared" si="59"/>
        <v>18924.763000000003</v>
      </c>
      <c r="U327" s="65">
        <v>706</v>
      </c>
      <c r="V327" s="65"/>
      <c r="W327" s="21">
        <f t="shared" si="62"/>
        <v>706</v>
      </c>
      <c r="X327" s="22">
        <f t="shared" si="60"/>
        <v>16498.330000000002</v>
      </c>
      <c r="Y327" s="35">
        <f t="shared" si="61"/>
        <v>0.95896381899207928</v>
      </c>
      <c r="Z327" s="20"/>
      <c r="AA327" s="11"/>
      <c r="AB327" s="20"/>
      <c r="AC327" s="24" t="s">
        <v>73</v>
      </c>
      <c r="AD327" s="10" t="s">
        <v>47</v>
      </c>
      <c r="AE327" s="10">
        <v>43321</v>
      </c>
      <c r="AF327" s="63"/>
      <c r="AG327" s="10">
        <v>43406</v>
      </c>
      <c r="AH327" s="25">
        <f t="shared" si="56"/>
        <v>85</v>
      </c>
      <c r="AK327" s="27"/>
    </row>
    <row r="328" spans="1:37" s="26" customFormat="1" ht="14.25" customHeight="1" x14ac:dyDescent="0.45">
      <c r="A328" s="28" t="s">
        <v>41</v>
      </c>
      <c r="B328" s="8" t="s">
        <v>512</v>
      </c>
      <c r="C328" s="28" t="s">
        <v>43</v>
      </c>
      <c r="D328" s="9"/>
      <c r="E328" s="9"/>
      <c r="F328" s="10"/>
      <c r="G328" s="11">
        <v>43707</v>
      </c>
      <c r="H328" s="51"/>
      <c r="I328" s="52"/>
      <c r="J328" s="51"/>
      <c r="K328" s="51"/>
      <c r="L328" s="9"/>
      <c r="M328" s="10" t="str">
        <f t="shared" si="57"/>
        <v>Aug-19</v>
      </c>
      <c r="N328" s="10" t="str">
        <f t="shared" si="58"/>
        <v>Jan-00</v>
      </c>
      <c r="O328" s="16" t="s">
        <v>831</v>
      </c>
      <c r="P328" s="18" t="s">
        <v>832</v>
      </c>
      <c r="Q328" s="45">
        <v>1668.12</v>
      </c>
      <c r="R328" s="45"/>
      <c r="S328" s="45">
        <f t="shared" si="53"/>
        <v>1668.12</v>
      </c>
      <c r="T328" s="64">
        <f t="shared" si="59"/>
        <v>1834.932</v>
      </c>
      <c r="U328" s="65"/>
      <c r="V328" s="65"/>
      <c r="W328" s="21">
        <f t="shared" si="62"/>
        <v>0</v>
      </c>
      <c r="X328" s="22">
        <f t="shared" si="60"/>
        <v>1668.12</v>
      </c>
      <c r="Y328" s="35">
        <f t="shared" si="61"/>
        <v>1</v>
      </c>
      <c r="Z328" s="20"/>
      <c r="AA328" s="11"/>
      <c r="AB328" s="20"/>
      <c r="AC328" s="24" t="s">
        <v>73</v>
      </c>
      <c r="AD328" s="10" t="s">
        <v>47</v>
      </c>
      <c r="AE328" s="10">
        <v>43321</v>
      </c>
      <c r="AF328" s="63"/>
      <c r="AG328" s="10">
        <v>43406</v>
      </c>
      <c r="AH328" s="25">
        <f t="shared" si="56"/>
        <v>85</v>
      </c>
      <c r="AK328" s="27"/>
    </row>
    <row r="329" spans="1:37" s="26" customFormat="1" ht="14.25" customHeight="1" x14ac:dyDescent="0.45">
      <c r="A329" s="28" t="s">
        <v>247</v>
      </c>
      <c r="B329" s="8" t="s">
        <v>116</v>
      </c>
      <c r="C329" s="8"/>
      <c r="D329" s="9" t="s">
        <v>833</v>
      </c>
      <c r="E329" s="9">
        <v>43298</v>
      </c>
      <c r="F329" s="10">
        <v>43298</v>
      </c>
      <c r="G329" s="10">
        <v>43298</v>
      </c>
      <c r="H329" s="67"/>
      <c r="I329" s="68"/>
      <c r="J329" s="68"/>
      <c r="K329" s="14">
        <v>43321</v>
      </c>
      <c r="L329" s="9"/>
      <c r="M329" s="10" t="str">
        <f t="shared" si="57"/>
        <v>Jul-18</v>
      </c>
      <c r="N329" s="10" t="str">
        <f t="shared" si="58"/>
        <v>Aug-18</v>
      </c>
      <c r="O329" s="16" t="s">
        <v>834</v>
      </c>
      <c r="P329" s="18" t="s">
        <v>835</v>
      </c>
      <c r="Q329" s="45">
        <v>2191.17</v>
      </c>
      <c r="R329" s="67"/>
      <c r="S329" s="45">
        <f t="shared" si="53"/>
        <v>2191.17</v>
      </c>
      <c r="T329" s="64">
        <f t="shared" si="59"/>
        <v>2410.2870000000003</v>
      </c>
      <c r="U329" s="65"/>
      <c r="V329" s="65">
        <f>15.5*56</f>
        <v>868</v>
      </c>
      <c r="W329" s="21">
        <f t="shared" si="62"/>
        <v>868</v>
      </c>
      <c r="X329" s="22">
        <f t="shared" si="60"/>
        <v>1323.17</v>
      </c>
      <c r="Y329" s="35">
        <f t="shared" si="61"/>
        <v>0.60386460201627445</v>
      </c>
      <c r="Z329" s="20"/>
      <c r="AA329" s="11"/>
      <c r="AB329" s="20"/>
      <c r="AC329" s="24" t="s">
        <v>121</v>
      </c>
      <c r="AD329" s="70"/>
      <c r="AE329" s="70"/>
      <c r="AF329" s="71"/>
      <c r="AG329" s="70"/>
      <c r="AH329" s="72"/>
      <c r="AK329" s="27"/>
    </row>
    <row r="330" spans="1:37" s="26" customFormat="1" ht="14.25" customHeight="1" x14ac:dyDescent="0.45">
      <c r="A330" s="28" t="s">
        <v>115</v>
      </c>
      <c r="B330" s="8" t="s">
        <v>116</v>
      </c>
      <c r="C330" s="8"/>
      <c r="D330" s="9" t="s">
        <v>836</v>
      </c>
      <c r="E330" s="9">
        <v>43298</v>
      </c>
      <c r="F330" s="10">
        <v>43298</v>
      </c>
      <c r="G330" s="10">
        <v>43298</v>
      </c>
      <c r="H330" s="67"/>
      <c r="I330" s="68"/>
      <c r="J330" s="68"/>
      <c r="K330" s="14">
        <v>43321</v>
      </c>
      <c r="L330" s="9"/>
      <c r="M330" s="10" t="str">
        <f t="shared" si="57"/>
        <v>Jul-18</v>
      </c>
      <c r="N330" s="10" t="str">
        <f t="shared" si="58"/>
        <v>Aug-18</v>
      </c>
      <c r="O330" s="16" t="s">
        <v>837</v>
      </c>
      <c r="P330" s="18" t="s">
        <v>132</v>
      </c>
      <c r="Q330" s="45">
        <v>5351.03</v>
      </c>
      <c r="R330" s="67"/>
      <c r="S330" s="45">
        <f t="shared" ref="S330:S392" si="63">SUM(Q330:R330)</f>
        <v>5351.03</v>
      </c>
      <c r="T330" s="64">
        <f t="shared" si="59"/>
        <v>5886.1329999999998</v>
      </c>
      <c r="U330" s="65"/>
      <c r="V330" s="65">
        <f>22*56+360+50</f>
        <v>1642</v>
      </c>
      <c r="W330" s="21">
        <f t="shared" si="62"/>
        <v>1642</v>
      </c>
      <c r="X330" s="22">
        <f t="shared" si="60"/>
        <v>3709.0299999999997</v>
      </c>
      <c r="Y330" s="35">
        <f t="shared" si="61"/>
        <v>0.69314318925515273</v>
      </c>
      <c r="Z330" s="20"/>
      <c r="AA330" s="11">
        <f>G330+14</f>
        <v>43312</v>
      </c>
      <c r="AB330" s="20"/>
      <c r="AC330" s="24" t="s">
        <v>121</v>
      </c>
      <c r="AD330" s="70"/>
      <c r="AE330" s="70"/>
      <c r="AF330" s="71"/>
      <c r="AG330" s="70"/>
      <c r="AH330" s="72"/>
      <c r="AK330" s="27"/>
    </row>
    <row r="331" spans="1:37" s="26" customFormat="1" ht="14.25" customHeight="1" x14ac:dyDescent="0.45">
      <c r="A331" s="28" t="s">
        <v>115</v>
      </c>
      <c r="B331" s="8" t="s">
        <v>116</v>
      </c>
      <c r="C331" s="8"/>
      <c r="D331" s="9" t="s">
        <v>838</v>
      </c>
      <c r="E331" s="9">
        <v>43298</v>
      </c>
      <c r="F331" s="10">
        <v>43298</v>
      </c>
      <c r="G331" s="10">
        <v>43298</v>
      </c>
      <c r="H331" s="67"/>
      <c r="I331" s="68"/>
      <c r="J331" s="68"/>
      <c r="K331" s="14">
        <v>43321</v>
      </c>
      <c r="L331" s="9"/>
      <c r="M331" s="10" t="str">
        <f t="shared" si="57"/>
        <v>Jul-18</v>
      </c>
      <c r="N331" s="10" t="str">
        <f t="shared" si="58"/>
        <v>Aug-18</v>
      </c>
      <c r="O331" s="16" t="s">
        <v>839</v>
      </c>
      <c r="P331" s="18" t="s">
        <v>840</v>
      </c>
      <c r="Q331" s="45">
        <v>640.70000000000005</v>
      </c>
      <c r="R331" s="67"/>
      <c r="S331" s="45">
        <f t="shared" si="63"/>
        <v>640.70000000000005</v>
      </c>
      <c r="T331" s="64">
        <f t="shared" si="59"/>
        <v>704.7700000000001</v>
      </c>
      <c r="U331" s="65"/>
      <c r="V331" s="65">
        <f>2.5*56</f>
        <v>140</v>
      </c>
      <c r="W331" s="21">
        <f t="shared" si="62"/>
        <v>140</v>
      </c>
      <c r="X331" s="22">
        <f t="shared" si="60"/>
        <v>500.70000000000005</v>
      </c>
      <c r="Y331" s="35">
        <f t="shared" si="61"/>
        <v>0.78148899641017644</v>
      </c>
      <c r="Z331" s="20"/>
      <c r="AA331" s="11"/>
      <c r="AB331" s="20"/>
      <c r="AC331" s="24" t="s">
        <v>121</v>
      </c>
      <c r="AD331" s="70"/>
      <c r="AE331" s="70"/>
      <c r="AF331" s="71"/>
      <c r="AG331" s="70"/>
      <c r="AH331" s="72"/>
      <c r="AK331" s="27"/>
    </row>
    <row r="332" spans="1:37" s="26" customFormat="1" ht="14.25" customHeight="1" x14ac:dyDescent="0.45">
      <c r="A332" s="28" t="s">
        <v>115</v>
      </c>
      <c r="B332" s="8" t="s">
        <v>116</v>
      </c>
      <c r="C332" s="8"/>
      <c r="D332" s="9" t="s">
        <v>841</v>
      </c>
      <c r="E332" s="9">
        <v>43298</v>
      </c>
      <c r="F332" s="10">
        <v>43298</v>
      </c>
      <c r="G332" s="10">
        <v>43298</v>
      </c>
      <c r="H332" s="67"/>
      <c r="I332" s="68"/>
      <c r="J332" s="68"/>
      <c r="K332" s="14">
        <v>43321</v>
      </c>
      <c r="L332" s="9"/>
      <c r="M332" s="10" t="str">
        <f t="shared" si="57"/>
        <v>Jul-18</v>
      </c>
      <c r="N332" s="10" t="str">
        <f t="shared" si="58"/>
        <v>Aug-18</v>
      </c>
      <c r="O332" s="16" t="s">
        <v>842</v>
      </c>
      <c r="P332" s="18" t="s">
        <v>840</v>
      </c>
      <c r="Q332" s="45">
        <v>640.70000000000005</v>
      </c>
      <c r="R332" s="67"/>
      <c r="S332" s="45">
        <f t="shared" si="63"/>
        <v>640.70000000000005</v>
      </c>
      <c r="T332" s="64">
        <f t="shared" si="59"/>
        <v>704.7700000000001</v>
      </c>
      <c r="U332" s="65"/>
      <c r="V332" s="65">
        <f>56*3</f>
        <v>168</v>
      </c>
      <c r="W332" s="21">
        <f t="shared" si="62"/>
        <v>168</v>
      </c>
      <c r="X332" s="22">
        <f t="shared" si="60"/>
        <v>472.70000000000005</v>
      </c>
      <c r="Y332" s="35">
        <f t="shared" si="61"/>
        <v>0.73778679569221162</v>
      </c>
      <c r="Z332" s="20"/>
      <c r="AA332" s="11"/>
      <c r="AB332" s="20"/>
      <c r="AC332" s="24" t="s">
        <v>121</v>
      </c>
      <c r="AD332" s="70"/>
      <c r="AE332" s="70"/>
      <c r="AF332" s="71"/>
      <c r="AG332" s="70"/>
      <c r="AH332" s="72"/>
      <c r="AK332" s="27"/>
    </row>
    <row r="333" spans="1:37" s="26" customFormat="1" ht="14.25" customHeight="1" x14ac:dyDescent="0.45">
      <c r="A333" s="28" t="s">
        <v>41</v>
      </c>
      <c r="B333" s="8" t="s">
        <v>100</v>
      </c>
      <c r="C333" s="8" t="s">
        <v>57</v>
      </c>
      <c r="D333" s="9"/>
      <c r="E333" s="9"/>
      <c r="F333" s="10"/>
      <c r="G333" s="10">
        <v>43585</v>
      </c>
      <c r="H333" s="51"/>
      <c r="I333" s="52"/>
      <c r="J333" s="51"/>
      <c r="K333" s="51"/>
      <c r="L333" s="9"/>
      <c r="M333" s="10" t="str">
        <f t="shared" si="57"/>
        <v>Apr-19</v>
      </c>
      <c r="N333" s="10" t="str">
        <f t="shared" si="58"/>
        <v>Jan-00</v>
      </c>
      <c r="O333" s="16" t="s">
        <v>843</v>
      </c>
      <c r="P333" s="18" t="s">
        <v>844</v>
      </c>
      <c r="Q333" s="45">
        <v>620.65</v>
      </c>
      <c r="R333" s="45"/>
      <c r="S333" s="45">
        <f t="shared" si="63"/>
        <v>620.65</v>
      </c>
      <c r="T333" s="64">
        <f t="shared" si="59"/>
        <v>682.71500000000003</v>
      </c>
      <c r="U333" s="65">
        <v>328</v>
      </c>
      <c r="V333" s="65"/>
      <c r="W333" s="21">
        <f t="shared" si="62"/>
        <v>328</v>
      </c>
      <c r="X333" s="22">
        <f t="shared" si="60"/>
        <v>292.64999999999998</v>
      </c>
      <c r="Y333" s="35">
        <f t="shared" si="61"/>
        <v>0.47152179167002334</v>
      </c>
      <c r="Z333" s="20"/>
      <c r="AA333" s="11"/>
      <c r="AB333" s="20"/>
      <c r="AC333" s="24" t="s">
        <v>69</v>
      </c>
      <c r="AD333" s="10" t="s">
        <v>47</v>
      </c>
      <c r="AE333" s="10">
        <v>43322</v>
      </c>
      <c r="AF333" s="63"/>
      <c r="AG333" s="10">
        <v>43406</v>
      </c>
      <c r="AH333" s="25">
        <f>AG333-AE333</f>
        <v>84</v>
      </c>
      <c r="AK333" s="27"/>
    </row>
    <row r="334" spans="1:37" s="26" customFormat="1" ht="14.25" customHeight="1" x14ac:dyDescent="0.45">
      <c r="A334" s="28" t="s">
        <v>41</v>
      </c>
      <c r="B334" s="8" t="s">
        <v>35</v>
      </c>
      <c r="C334" s="8" t="s">
        <v>43</v>
      </c>
      <c r="D334" s="9" t="s">
        <v>845</v>
      </c>
      <c r="E334" s="9">
        <v>43500</v>
      </c>
      <c r="F334" s="10">
        <v>43475</v>
      </c>
      <c r="G334" s="11">
        <v>43475</v>
      </c>
      <c r="H334" s="14">
        <v>43475</v>
      </c>
      <c r="I334" s="54">
        <v>43487</v>
      </c>
      <c r="J334" s="14">
        <f>G334+14</f>
        <v>43489</v>
      </c>
      <c r="K334" s="14">
        <f>J334+14</f>
        <v>43503</v>
      </c>
      <c r="L334" s="9"/>
      <c r="M334" s="10" t="str">
        <f t="shared" si="57"/>
        <v>Jan-19</v>
      </c>
      <c r="N334" s="10" t="str">
        <f t="shared" si="58"/>
        <v>Feb-19</v>
      </c>
      <c r="O334" s="16" t="s">
        <v>846</v>
      </c>
      <c r="P334" s="18" t="s">
        <v>235</v>
      </c>
      <c r="Q334" s="45">
        <v>1061.3800000000001</v>
      </c>
      <c r="R334" s="45">
        <v>2278.84</v>
      </c>
      <c r="S334" s="45">
        <f t="shared" si="63"/>
        <v>3340.2200000000003</v>
      </c>
      <c r="T334" s="64">
        <f t="shared" si="59"/>
        <v>3674.2420000000006</v>
      </c>
      <c r="U334" s="65">
        <v>1740</v>
      </c>
      <c r="V334" s="65"/>
      <c r="W334" s="21">
        <f t="shared" si="62"/>
        <v>1740</v>
      </c>
      <c r="X334" s="22">
        <f t="shared" si="60"/>
        <v>1600.2200000000003</v>
      </c>
      <c r="Y334" s="35">
        <f t="shared" si="61"/>
        <v>0.47907622851189446</v>
      </c>
      <c r="Z334" s="20"/>
      <c r="AA334" s="11"/>
      <c r="AB334" s="20"/>
      <c r="AC334" s="24" t="s">
        <v>73</v>
      </c>
      <c r="AD334" s="10" t="s">
        <v>47</v>
      </c>
      <c r="AE334" s="10">
        <v>43326</v>
      </c>
      <c r="AF334" s="63"/>
      <c r="AG334" s="10">
        <v>43412</v>
      </c>
      <c r="AH334" s="25">
        <f>AG334-AE334</f>
        <v>86</v>
      </c>
      <c r="AK334" s="27"/>
    </row>
    <row r="335" spans="1:37" s="26" customFormat="1" ht="14.25" customHeight="1" x14ac:dyDescent="0.45">
      <c r="A335" s="8" t="s">
        <v>34</v>
      </c>
      <c r="B335" s="8" t="s">
        <v>129</v>
      </c>
      <c r="C335" s="8" t="s">
        <v>57</v>
      </c>
      <c r="D335" s="9" t="s">
        <v>847</v>
      </c>
      <c r="E335" s="9">
        <v>43390</v>
      </c>
      <c r="F335" s="10">
        <v>43370</v>
      </c>
      <c r="G335" s="11">
        <v>43370</v>
      </c>
      <c r="H335" s="67"/>
      <c r="I335" s="68"/>
      <c r="J335" s="77">
        <v>43385</v>
      </c>
      <c r="K335" s="14">
        <v>43391</v>
      </c>
      <c r="L335" s="9"/>
      <c r="M335" s="10" t="str">
        <f t="shared" si="57"/>
        <v>Sep-18</v>
      </c>
      <c r="N335" s="10" t="str">
        <f t="shared" si="58"/>
        <v>Oct-18</v>
      </c>
      <c r="O335" s="16" t="s">
        <v>848</v>
      </c>
      <c r="P335" s="18" t="s">
        <v>132</v>
      </c>
      <c r="Q335" s="45">
        <v>5445.8</v>
      </c>
      <c r="R335" s="73"/>
      <c r="S335" s="45">
        <f t="shared" si="63"/>
        <v>5445.8</v>
      </c>
      <c r="T335" s="64">
        <f t="shared" si="59"/>
        <v>5990.380000000001</v>
      </c>
      <c r="U335" s="65"/>
      <c r="V335" s="65"/>
      <c r="W335" s="21">
        <f t="shared" si="62"/>
        <v>0</v>
      </c>
      <c r="X335" s="22">
        <f t="shared" si="60"/>
        <v>5445.8</v>
      </c>
      <c r="Y335" s="35">
        <f t="shared" si="61"/>
        <v>1</v>
      </c>
      <c r="Z335" s="20"/>
      <c r="AA335" s="11"/>
      <c r="AB335" s="20"/>
      <c r="AC335" s="24" t="s">
        <v>69</v>
      </c>
      <c r="AD335" s="10">
        <v>43320</v>
      </c>
      <c r="AE335" s="10">
        <v>43326</v>
      </c>
      <c r="AF335" s="63">
        <f>AE335-AD335</f>
        <v>6</v>
      </c>
      <c r="AG335" s="10">
        <v>43403</v>
      </c>
      <c r="AH335" s="25">
        <f>AG335-AE335</f>
        <v>77</v>
      </c>
      <c r="AK335" s="27"/>
    </row>
    <row r="336" spans="1:37" s="26" customFormat="1" ht="14.25" customHeight="1" x14ac:dyDescent="0.45">
      <c r="A336" s="8" t="s">
        <v>34</v>
      </c>
      <c r="B336" s="8" t="s">
        <v>35</v>
      </c>
      <c r="C336" s="8" t="s">
        <v>36</v>
      </c>
      <c r="D336" s="9" t="s">
        <v>849</v>
      </c>
      <c r="E336" s="9">
        <v>43354</v>
      </c>
      <c r="F336" s="10">
        <v>43336</v>
      </c>
      <c r="G336" s="11">
        <v>43336</v>
      </c>
      <c r="H336" s="67"/>
      <c r="I336" s="68"/>
      <c r="J336" s="14">
        <f>G336+14</f>
        <v>43350</v>
      </c>
      <c r="K336" s="14">
        <v>43354</v>
      </c>
      <c r="L336" s="9"/>
      <c r="M336" s="10" t="str">
        <f t="shared" si="57"/>
        <v>Aug-18</v>
      </c>
      <c r="N336" s="10" t="str">
        <f t="shared" si="58"/>
        <v>Sep-18</v>
      </c>
      <c r="O336" s="16" t="s">
        <v>850</v>
      </c>
      <c r="P336" s="18" t="s">
        <v>851</v>
      </c>
      <c r="Q336" s="45">
        <v>2431</v>
      </c>
      <c r="R336" s="73"/>
      <c r="S336" s="45">
        <f t="shared" si="63"/>
        <v>2431</v>
      </c>
      <c r="T336" s="64">
        <f t="shared" si="59"/>
        <v>2674.1000000000004</v>
      </c>
      <c r="U336" s="65"/>
      <c r="V336" s="65"/>
      <c r="W336" s="21">
        <f t="shared" si="62"/>
        <v>0</v>
      </c>
      <c r="X336" s="22">
        <f t="shared" si="60"/>
        <v>2431</v>
      </c>
      <c r="Y336" s="35">
        <f t="shared" si="61"/>
        <v>1</v>
      </c>
      <c r="Z336" s="20"/>
      <c r="AA336" s="11"/>
      <c r="AB336" s="20"/>
      <c r="AC336" s="24" t="s">
        <v>73</v>
      </c>
      <c r="AD336" s="10">
        <v>43321</v>
      </c>
      <c r="AE336" s="10">
        <v>43326</v>
      </c>
      <c r="AF336" s="63">
        <f>AE336-AD336</f>
        <v>5</v>
      </c>
      <c r="AG336" s="10">
        <v>43398</v>
      </c>
      <c r="AH336" s="25">
        <f>AG336-AE336</f>
        <v>72</v>
      </c>
      <c r="AK336" s="27"/>
    </row>
    <row r="337" spans="1:37" s="26" customFormat="1" ht="14.25" customHeight="1" x14ac:dyDescent="0.45">
      <c r="A337" s="8" t="s">
        <v>774</v>
      </c>
      <c r="B337" s="8" t="s">
        <v>35</v>
      </c>
      <c r="C337" s="8" t="s">
        <v>36</v>
      </c>
      <c r="D337" s="9" t="s">
        <v>852</v>
      </c>
      <c r="E337" s="9">
        <v>43511</v>
      </c>
      <c r="F337" s="10">
        <v>43437</v>
      </c>
      <c r="G337" s="11">
        <v>43438</v>
      </c>
      <c r="H337" s="15">
        <v>43445</v>
      </c>
      <c r="I337" s="49">
        <v>43495</v>
      </c>
      <c r="J337" s="14">
        <f>G337+14</f>
        <v>43452</v>
      </c>
      <c r="K337" s="15">
        <v>43511</v>
      </c>
      <c r="L337" s="9"/>
      <c r="M337" s="10" t="str">
        <f t="shared" si="57"/>
        <v>Dec-18</v>
      </c>
      <c r="N337" s="10" t="str">
        <f t="shared" si="58"/>
        <v>Feb-19</v>
      </c>
      <c r="O337" s="113" t="s">
        <v>853</v>
      </c>
      <c r="P337" s="114" t="s">
        <v>302</v>
      </c>
      <c r="Q337" s="115">
        <f>24751.71-Q338</f>
        <v>17326.199999999997</v>
      </c>
      <c r="R337" s="45">
        <v>101443.97141249999</v>
      </c>
      <c r="S337" s="45">
        <f t="shared" si="63"/>
        <v>118770.17141249999</v>
      </c>
      <c r="T337" s="64">
        <f t="shared" si="59"/>
        <v>130647.18855374999</v>
      </c>
      <c r="U337" s="65">
        <v>70426.27</v>
      </c>
      <c r="V337" s="34">
        <f>871.680499+3482.69</f>
        <v>4354.3704990000006</v>
      </c>
      <c r="W337" s="21">
        <f t="shared" si="62"/>
        <v>74780.640499000001</v>
      </c>
      <c r="X337" s="22">
        <f t="shared" si="60"/>
        <v>43989.530913499984</v>
      </c>
      <c r="Y337" s="35">
        <f t="shared" si="61"/>
        <v>0.37037524144610523</v>
      </c>
      <c r="Z337" s="20"/>
      <c r="AA337" s="11"/>
      <c r="AB337" s="20"/>
      <c r="AC337" s="24" t="s">
        <v>69</v>
      </c>
      <c r="AD337" s="10" t="s">
        <v>47</v>
      </c>
      <c r="AE337" s="10">
        <v>43326</v>
      </c>
      <c r="AF337" s="63"/>
      <c r="AG337" s="10">
        <v>43403</v>
      </c>
      <c r="AH337" s="25">
        <f>AG337-AE337</f>
        <v>77</v>
      </c>
      <c r="AK337" s="27"/>
    </row>
    <row r="338" spans="1:37" s="26" customFormat="1" ht="14.25" customHeight="1" x14ac:dyDescent="0.45">
      <c r="A338" s="8" t="s">
        <v>546</v>
      </c>
      <c r="B338" s="8" t="s">
        <v>35</v>
      </c>
      <c r="C338" s="8" t="s">
        <v>51</v>
      </c>
      <c r="D338" s="9" t="s">
        <v>854</v>
      </c>
      <c r="E338" s="9">
        <v>43341</v>
      </c>
      <c r="F338" s="10">
        <v>43336</v>
      </c>
      <c r="G338" s="11">
        <v>43336</v>
      </c>
      <c r="H338" s="67"/>
      <c r="I338" s="68"/>
      <c r="J338" s="67"/>
      <c r="K338" s="12">
        <v>43340</v>
      </c>
      <c r="L338" s="9"/>
      <c r="M338" s="10" t="str">
        <f t="shared" si="57"/>
        <v>Aug-18</v>
      </c>
      <c r="N338" s="10" t="str">
        <f t="shared" si="58"/>
        <v>Aug-18</v>
      </c>
      <c r="O338" s="113" t="s">
        <v>853</v>
      </c>
      <c r="P338" s="114" t="s">
        <v>302</v>
      </c>
      <c r="Q338" s="115">
        <v>7425.51</v>
      </c>
      <c r="R338" s="73"/>
      <c r="S338" s="45">
        <f t="shared" si="63"/>
        <v>7425.51</v>
      </c>
      <c r="T338" s="64">
        <f t="shared" si="59"/>
        <v>8168.0610000000006</v>
      </c>
      <c r="U338" s="65"/>
      <c r="V338" s="65"/>
      <c r="W338" s="21">
        <f t="shared" si="62"/>
        <v>0</v>
      </c>
      <c r="X338" s="22">
        <f t="shared" si="60"/>
        <v>7425.51</v>
      </c>
      <c r="Y338" s="35">
        <f t="shared" si="61"/>
        <v>1</v>
      </c>
      <c r="Z338" s="20"/>
      <c r="AA338" s="11"/>
      <c r="AB338" s="20"/>
      <c r="AC338" s="24" t="s">
        <v>69</v>
      </c>
      <c r="AD338" s="10" t="s">
        <v>47</v>
      </c>
      <c r="AE338" s="70"/>
      <c r="AF338" s="71"/>
      <c r="AG338" s="70"/>
      <c r="AH338" s="72"/>
      <c r="AK338" s="27"/>
    </row>
    <row r="339" spans="1:37" s="26" customFormat="1" ht="14.25" customHeight="1" x14ac:dyDescent="0.45">
      <c r="A339" s="8" t="s">
        <v>774</v>
      </c>
      <c r="B339" s="8" t="s">
        <v>35</v>
      </c>
      <c r="C339" s="8" t="s">
        <v>36</v>
      </c>
      <c r="D339" s="9" t="s">
        <v>855</v>
      </c>
      <c r="E339" s="9">
        <v>43361</v>
      </c>
      <c r="F339" s="10">
        <v>43378</v>
      </c>
      <c r="G339" s="11">
        <v>43378</v>
      </c>
      <c r="H339" s="15">
        <v>43385</v>
      </c>
      <c r="I339" s="49">
        <v>43455</v>
      </c>
      <c r="J339" s="14">
        <f>G339+14</f>
        <v>43392</v>
      </c>
      <c r="K339" s="15">
        <v>43487</v>
      </c>
      <c r="L339" s="9"/>
      <c r="M339" s="10" t="str">
        <f t="shared" si="57"/>
        <v>Oct-18</v>
      </c>
      <c r="N339" s="10" t="str">
        <f t="shared" si="58"/>
        <v>Jan-19</v>
      </c>
      <c r="O339" s="113" t="s">
        <v>856</v>
      </c>
      <c r="P339" s="114" t="s">
        <v>857</v>
      </c>
      <c r="Q339" s="45">
        <v>12087.24</v>
      </c>
      <c r="R339" s="45">
        <v>34613.252</v>
      </c>
      <c r="S339" s="45">
        <f t="shared" si="63"/>
        <v>46700.491999999998</v>
      </c>
      <c r="T339" s="64">
        <f t="shared" si="59"/>
        <v>51370.5412</v>
      </c>
      <c r="U339" s="65">
        <v>24352.120000000003</v>
      </c>
      <c r="V339" s="65"/>
      <c r="W339" s="21">
        <f t="shared" si="62"/>
        <v>24352.120000000003</v>
      </c>
      <c r="X339" s="22">
        <f t="shared" si="60"/>
        <v>22348.371999999996</v>
      </c>
      <c r="Y339" s="35">
        <f t="shared" si="61"/>
        <v>0.47854682130543713</v>
      </c>
      <c r="Z339" s="20"/>
      <c r="AA339" s="11"/>
      <c r="AB339" s="20"/>
      <c r="AC339" s="24" t="s">
        <v>69</v>
      </c>
      <c r="AD339" s="10" t="s">
        <v>47</v>
      </c>
      <c r="AE339" s="10">
        <v>43284</v>
      </c>
      <c r="AF339" s="63"/>
      <c r="AG339" s="10">
        <v>43371</v>
      </c>
      <c r="AH339" s="25">
        <f t="shared" ref="AH339:AH345" si="64">AG339-AE339</f>
        <v>87</v>
      </c>
      <c r="AK339" s="27"/>
    </row>
    <row r="340" spans="1:37" s="26" customFormat="1" ht="14.25" customHeight="1" x14ac:dyDescent="0.45">
      <c r="A340" s="28" t="s">
        <v>41</v>
      </c>
      <c r="B340" s="8" t="s">
        <v>35</v>
      </c>
      <c r="C340" s="8" t="s">
        <v>43</v>
      </c>
      <c r="D340" s="9"/>
      <c r="E340" s="9"/>
      <c r="F340" s="10">
        <v>43481</v>
      </c>
      <c r="G340" s="11">
        <v>43481</v>
      </c>
      <c r="H340" s="15">
        <v>43481</v>
      </c>
      <c r="I340" s="49">
        <v>43536</v>
      </c>
      <c r="J340" s="14">
        <f>G340+14</f>
        <v>43495</v>
      </c>
      <c r="K340" s="51">
        <f>J340+14</f>
        <v>43509</v>
      </c>
      <c r="L340" s="9"/>
      <c r="M340" s="10" t="str">
        <f t="shared" si="57"/>
        <v>Jan-19</v>
      </c>
      <c r="N340" s="10" t="str">
        <f t="shared" si="58"/>
        <v>Feb-19</v>
      </c>
      <c r="O340" s="16" t="s">
        <v>858</v>
      </c>
      <c r="P340" s="18" t="s">
        <v>54</v>
      </c>
      <c r="Q340" s="45">
        <v>3385.02</v>
      </c>
      <c r="R340" s="45">
        <v>6075.5650000000005</v>
      </c>
      <c r="S340" s="45">
        <f t="shared" si="63"/>
        <v>9460.5850000000009</v>
      </c>
      <c r="T340" s="64">
        <f t="shared" si="59"/>
        <v>10406.643500000002</v>
      </c>
      <c r="U340" s="65">
        <v>1551.05</v>
      </c>
      <c r="V340" s="65"/>
      <c r="W340" s="21">
        <f t="shared" si="62"/>
        <v>1551.05</v>
      </c>
      <c r="X340" s="22">
        <f t="shared" si="60"/>
        <v>7909.5350000000008</v>
      </c>
      <c r="Y340" s="35">
        <f t="shared" si="61"/>
        <v>0.83605136468833585</v>
      </c>
      <c r="Z340" s="20"/>
      <c r="AA340" s="11"/>
      <c r="AB340" s="20"/>
      <c r="AC340" s="24" t="s">
        <v>73</v>
      </c>
      <c r="AD340" s="10" t="s">
        <v>47</v>
      </c>
      <c r="AE340" s="10">
        <v>43326</v>
      </c>
      <c r="AF340" s="63"/>
      <c r="AG340" s="10">
        <v>43414</v>
      </c>
      <c r="AH340" s="25">
        <f t="shared" si="64"/>
        <v>88</v>
      </c>
      <c r="AK340" s="27"/>
    </row>
    <row r="341" spans="1:37" s="26" customFormat="1" ht="14.25" customHeight="1" x14ac:dyDescent="0.45">
      <c r="A341" s="28" t="s">
        <v>41</v>
      </c>
      <c r="B341" s="8" t="s">
        <v>146</v>
      </c>
      <c r="C341" s="8" t="s">
        <v>36</v>
      </c>
      <c r="D341" s="9"/>
      <c r="E341" s="9"/>
      <c r="F341" s="10"/>
      <c r="G341" s="11">
        <v>43554</v>
      </c>
      <c r="H341" s="51"/>
      <c r="I341" s="52"/>
      <c r="J341" s="51"/>
      <c r="K341" s="51"/>
      <c r="L341" s="9"/>
      <c r="M341" s="10" t="str">
        <f t="shared" si="57"/>
        <v>Mar-19</v>
      </c>
      <c r="N341" s="10" t="str">
        <f t="shared" si="58"/>
        <v>Jan-00</v>
      </c>
      <c r="O341" s="16" t="s">
        <v>859</v>
      </c>
      <c r="P341" s="18" t="s">
        <v>860</v>
      </c>
      <c r="Q341" s="45">
        <v>2718.92</v>
      </c>
      <c r="R341" s="45"/>
      <c r="S341" s="45">
        <f t="shared" si="63"/>
        <v>2718.92</v>
      </c>
      <c r="T341" s="64">
        <f t="shared" si="59"/>
        <v>2990.8120000000004</v>
      </c>
      <c r="U341" s="65"/>
      <c r="V341" s="65"/>
      <c r="W341" s="21">
        <f t="shared" si="62"/>
        <v>0</v>
      </c>
      <c r="X341" s="22">
        <f t="shared" si="60"/>
        <v>2718.92</v>
      </c>
      <c r="Y341" s="35">
        <f t="shared" si="61"/>
        <v>1</v>
      </c>
      <c r="Z341" s="20"/>
      <c r="AA341" s="11"/>
      <c r="AB341" s="20"/>
      <c r="AC341" s="24" t="s">
        <v>73</v>
      </c>
      <c r="AD341" s="10" t="s">
        <v>47</v>
      </c>
      <c r="AE341" s="10">
        <v>43326</v>
      </c>
      <c r="AF341" s="63"/>
      <c r="AG341" s="10">
        <v>43414</v>
      </c>
      <c r="AH341" s="25">
        <f t="shared" si="64"/>
        <v>88</v>
      </c>
      <c r="AK341" s="27"/>
    </row>
    <row r="342" spans="1:37" s="26" customFormat="1" ht="14.25" customHeight="1" x14ac:dyDescent="0.45">
      <c r="A342" s="28" t="s">
        <v>41</v>
      </c>
      <c r="B342" s="8" t="s">
        <v>35</v>
      </c>
      <c r="C342" s="8" t="s">
        <v>36</v>
      </c>
      <c r="D342" s="9" t="s">
        <v>861</v>
      </c>
      <c r="E342" s="9">
        <v>43329</v>
      </c>
      <c r="F342" s="10">
        <v>43335</v>
      </c>
      <c r="G342" s="10">
        <v>43335</v>
      </c>
      <c r="H342" s="15">
        <v>43339</v>
      </c>
      <c r="I342" s="49">
        <v>43378</v>
      </c>
      <c r="J342" s="14">
        <f>G342+14</f>
        <v>43349</v>
      </c>
      <c r="K342" s="15">
        <v>43391</v>
      </c>
      <c r="L342" s="9"/>
      <c r="M342" s="10" t="str">
        <f t="shared" si="57"/>
        <v>Aug-18</v>
      </c>
      <c r="N342" s="10" t="str">
        <f t="shared" si="58"/>
        <v>Oct-18</v>
      </c>
      <c r="O342" s="16" t="s">
        <v>862</v>
      </c>
      <c r="P342" s="18" t="s">
        <v>238</v>
      </c>
      <c r="Q342" s="45">
        <v>4434.6400000000003</v>
      </c>
      <c r="R342" s="45">
        <v>1312.58</v>
      </c>
      <c r="S342" s="45">
        <f t="shared" si="63"/>
        <v>5747.22</v>
      </c>
      <c r="T342" s="64">
        <f t="shared" si="59"/>
        <v>6321.9420000000009</v>
      </c>
      <c r="U342" s="65">
        <v>1070.25</v>
      </c>
      <c r="V342" s="65"/>
      <c r="W342" s="21">
        <f t="shared" si="62"/>
        <v>1070.25</v>
      </c>
      <c r="X342" s="22">
        <f t="shared" si="60"/>
        <v>4676.97</v>
      </c>
      <c r="Y342" s="35">
        <f t="shared" si="61"/>
        <v>0.81377953166922445</v>
      </c>
      <c r="Z342" s="20"/>
      <c r="AA342" s="11"/>
      <c r="AB342" s="20"/>
      <c r="AC342" s="24" t="s">
        <v>73</v>
      </c>
      <c r="AD342" s="10" t="s">
        <v>47</v>
      </c>
      <c r="AE342" s="10">
        <v>43327</v>
      </c>
      <c r="AF342" s="63"/>
      <c r="AG342" s="10">
        <v>43406</v>
      </c>
      <c r="AH342" s="25">
        <f t="shared" si="64"/>
        <v>79</v>
      </c>
      <c r="AK342" s="27"/>
    </row>
    <row r="343" spans="1:37" s="26" customFormat="1" ht="14.25" customHeight="1" x14ac:dyDescent="0.45">
      <c r="A343" s="8" t="s">
        <v>34</v>
      </c>
      <c r="B343" s="8" t="s">
        <v>863</v>
      </c>
      <c r="C343" s="8" t="s">
        <v>36</v>
      </c>
      <c r="D343" s="9" t="s">
        <v>864</v>
      </c>
      <c r="E343" s="9">
        <v>43354</v>
      </c>
      <c r="F343" s="10">
        <v>43332</v>
      </c>
      <c r="G343" s="11">
        <v>43332</v>
      </c>
      <c r="H343" s="14">
        <v>43333</v>
      </c>
      <c r="I343" s="54">
        <v>43343</v>
      </c>
      <c r="J343" s="14">
        <f>G343+14</f>
        <v>43346</v>
      </c>
      <c r="K343" s="14">
        <v>43354</v>
      </c>
      <c r="L343" s="9"/>
      <c r="M343" s="10" t="str">
        <f t="shared" si="57"/>
        <v>Aug-18</v>
      </c>
      <c r="N343" s="10" t="str">
        <f t="shared" si="58"/>
        <v>Sep-18</v>
      </c>
      <c r="O343" s="16" t="s">
        <v>865</v>
      </c>
      <c r="P343" s="18" t="s">
        <v>866</v>
      </c>
      <c r="Q343" s="45">
        <v>6073.04</v>
      </c>
      <c r="R343" s="45">
        <v>7558.75</v>
      </c>
      <c r="S343" s="45">
        <f t="shared" si="63"/>
        <v>13631.79</v>
      </c>
      <c r="T343" s="64">
        <f t="shared" si="59"/>
        <v>14994.969000000003</v>
      </c>
      <c r="U343" s="65">
        <v>3305.72</v>
      </c>
      <c r="V343" s="65">
        <f>2*(50*16)+(185*2)+100</f>
        <v>2070</v>
      </c>
      <c r="W343" s="21">
        <f t="shared" si="62"/>
        <v>5375.7199999999993</v>
      </c>
      <c r="X343" s="22">
        <f t="shared" si="60"/>
        <v>8256.0700000000015</v>
      </c>
      <c r="Y343" s="35">
        <f t="shared" si="61"/>
        <v>0.60564826776234093</v>
      </c>
      <c r="Z343" s="20"/>
      <c r="AA343" s="11"/>
      <c r="AB343" s="20"/>
      <c r="AC343" s="24" t="s">
        <v>69</v>
      </c>
      <c r="AD343" s="10">
        <v>43305</v>
      </c>
      <c r="AE343" s="10">
        <v>43315</v>
      </c>
      <c r="AF343" s="63">
        <f>AE343-AD343</f>
        <v>10</v>
      </c>
      <c r="AG343" s="10">
        <v>43343</v>
      </c>
      <c r="AH343" s="25">
        <f t="shared" si="64"/>
        <v>28</v>
      </c>
      <c r="AK343" s="27"/>
    </row>
    <row r="344" spans="1:37" s="26" customFormat="1" ht="14.25" customHeight="1" x14ac:dyDescent="0.45">
      <c r="A344" s="8" t="s">
        <v>34</v>
      </c>
      <c r="B344" s="8" t="s">
        <v>65</v>
      </c>
      <c r="C344" s="8" t="s">
        <v>57</v>
      </c>
      <c r="D344" s="9" t="s">
        <v>867</v>
      </c>
      <c r="E344" s="9">
        <v>43455</v>
      </c>
      <c r="F344" s="10">
        <v>43424</v>
      </c>
      <c r="G344" s="11">
        <v>43424</v>
      </c>
      <c r="H344" s="14">
        <v>43425</v>
      </c>
      <c r="I344" s="54">
        <v>43438</v>
      </c>
      <c r="J344" s="14">
        <f>G344+14</f>
        <v>43438</v>
      </c>
      <c r="K344" s="77">
        <v>43465</v>
      </c>
      <c r="L344" s="9"/>
      <c r="M344" s="10" t="str">
        <f t="shared" si="57"/>
        <v>Nov-18</v>
      </c>
      <c r="N344" s="10" t="str">
        <f t="shared" si="58"/>
        <v>Dec-18</v>
      </c>
      <c r="O344" s="16" t="s">
        <v>868</v>
      </c>
      <c r="P344" s="18" t="s">
        <v>178</v>
      </c>
      <c r="Q344" s="45">
        <v>4573.0200000000004</v>
      </c>
      <c r="R344" s="45">
        <v>3890.4674000000005</v>
      </c>
      <c r="S344" s="45">
        <f t="shared" si="63"/>
        <v>8463.4874000000018</v>
      </c>
      <c r="T344" s="64">
        <f t="shared" si="59"/>
        <v>9309.8361400000031</v>
      </c>
      <c r="U344" s="65"/>
      <c r="V344" s="65"/>
      <c r="W344" s="21">
        <f t="shared" si="62"/>
        <v>0</v>
      </c>
      <c r="X344" s="22">
        <f t="shared" si="60"/>
        <v>8463.4874000000018</v>
      </c>
      <c r="Y344" s="35">
        <f t="shared" si="61"/>
        <v>1</v>
      </c>
      <c r="Z344" s="20"/>
      <c r="AA344" s="11"/>
      <c r="AB344" s="20"/>
      <c r="AC344" s="24" t="s">
        <v>69</v>
      </c>
      <c r="AD344" s="10">
        <v>43321</v>
      </c>
      <c r="AE344" s="10">
        <v>43329</v>
      </c>
      <c r="AF344" s="63">
        <f>AE344-AD344</f>
        <v>8</v>
      </c>
      <c r="AG344" s="10">
        <v>43404</v>
      </c>
      <c r="AH344" s="25">
        <f t="shared" si="64"/>
        <v>75</v>
      </c>
      <c r="AK344" s="27"/>
    </row>
    <row r="345" spans="1:37" s="26" customFormat="1" ht="14.25" customHeight="1" x14ac:dyDescent="0.45">
      <c r="A345" s="28" t="s">
        <v>41</v>
      </c>
      <c r="B345" s="8" t="s">
        <v>35</v>
      </c>
      <c r="C345" s="8" t="s">
        <v>36</v>
      </c>
      <c r="D345" s="9" t="s">
        <v>869</v>
      </c>
      <c r="E345" s="9">
        <v>43382</v>
      </c>
      <c r="F345" s="10">
        <v>43356</v>
      </c>
      <c r="G345" s="11">
        <v>43356</v>
      </c>
      <c r="H345" s="14">
        <v>43361</v>
      </c>
      <c r="I345" s="54">
        <v>43370</v>
      </c>
      <c r="J345" s="14">
        <f>G345+14</f>
        <v>43370</v>
      </c>
      <c r="K345" s="14">
        <v>43382</v>
      </c>
      <c r="L345" s="9"/>
      <c r="M345" s="10" t="str">
        <f t="shared" si="57"/>
        <v>Sep-18</v>
      </c>
      <c r="N345" s="10" t="str">
        <f t="shared" si="58"/>
        <v>Oct-18</v>
      </c>
      <c r="O345" s="16" t="s">
        <v>870</v>
      </c>
      <c r="P345" s="18" t="s">
        <v>366</v>
      </c>
      <c r="Q345" s="45">
        <v>3014.78</v>
      </c>
      <c r="R345" s="45">
        <v>-1566.77</v>
      </c>
      <c r="S345" s="45">
        <f t="shared" si="63"/>
        <v>1448.0100000000002</v>
      </c>
      <c r="T345" s="64">
        <f t="shared" si="59"/>
        <v>1592.8110000000004</v>
      </c>
      <c r="U345" s="65"/>
      <c r="V345" s="65">
        <v>419</v>
      </c>
      <c r="W345" s="21">
        <f t="shared" si="62"/>
        <v>419</v>
      </c>
      <c r="X345" s="22">
        <f t="shared" si="60"/>
        <v>1029.0100000000002</v>
      </c>
      <c r="Y345" s="35">
        <f t="shared" si="61"/>
        <v>0.710637357476813</v>
      </c>
      <c r="Z345" s="20"/>
      <c r="AA345" s="11"/>
      <c r="AB345" s="20"/>
      <c r="AC345" s="24" t="s">
        <v>73</v>
      </c>
      <c r="AD345" s="10" t="s">
        <v>47</v>
      </c>
      <c r="AE345" s="10">
        <v>43332</v>
      </c>
      <c r="AF345" s="48"/>
      <c r="AG345" s="10">
        <v>43417</v>
      </c>
      <c r="AH345" s="25">
        <f t="shared" si="64"/>
        <v>85</v>
      </c>
      <c r="AK345" s="27"/>
    </row>
    <row r="346" spans="1:37" s="26" customFormat="1" ht="14.25" customHeight="1" x14ac:dyDescent="0.45">
      <c r="A346" s="28" t="s">
        <v>367</v>
      </c>
      <c r="B346" s="8" t="s">
        <v>65</v>
      </c>
      <c r="C346" s="8" t="s">
        <v>378</v>
      </c>
      <c r="D346" s="9" t="s">
        <v>871</v>
      </c>
      <c r="E346" s="9">
        <v>43511</v>
      </c>
      <c r="F346" s="10">
        <v>43454</v>
      </c>
      <c r="G346" s="11">
        <v>43454</v>
      </c>
      <c r="H346" s="14">
        <v>43483</v>
      </c>
      <c r="I346" s="54">
        <v>43488</v>
      </c>
      <c r="J346" s="15">
        <v>43476</v>
      </c>
      <c r="K346" s="15">
        <v>43511</v>
      </c>
      <c r="L346" s="9"/>
      <c r="M346" s="10" t="str">
        <f t="shared" si="57"/>
        <v>Dec-18</v>
      </c>
      <c r="N346" s="10" t="str">
        <f t="shared" si="58"/>
        <v>Feb-19</v>
      </c>
      <c r="O346" s="97" t="s">
        <v>872</v>
      </c>
      <c r="P346" s="98" t="s">
        <v>873</v>
      </c>
      <c r="Q346" s="99">
        <f>19540-Q347</f>
        <v>13678</v>
      </c>
      <c r="R346" s="45">
        <v>34432.980000000003</v>
      </c>
      <c r="S346" s="45">
        <f t="shared" si="63"/>
        <v>48110.98</v>
      </c>
      <c r="T346" s="64">
        <f t="shared" si="59"/>
        <v>52922.078000000009</v>
      </c>
      <c r="U346" s="65">
        <v>28348.75</v>
      </c>
      <c r="V346" s="65"/>
      <c r="W346" s="21">
        <f t="shared" si="62"/>
        <v>28348.75</v>
      </c>
      <c r="X346" s="22">
        <f t="shared" si="60"/>
        <v>19762.230000000003</v>
      </c>
      <c r="Y346" s="35">
        <f t="shared" si="61"/>
        <v>0.41076340577556314</v>
      </c>
      <c r="Z346" s="20"/>
      <c r="AA346" s="11"/>
      <c r="AB346" s="20"/>
      <c r="AC346" s="24" t="s">
        <v>371</v>
      </c>
      <c r="AD346" s="10" t="s">
        <v>47</v>
      </c>
      <c r="AE346" s="70"/>
      <c r="AF346" s="71"/>
      <c r="AG346" s="70"/>
      <c r="AH346" s="72"/>
      <c r="AK346" s="27"/>
    </row>
    <row r="347" spans="1:37" s="26" customFormat="1" ht="14.25" customHeight="1" x14ac:dyDescent="0.45">
      <c r="A347" s="28" t="s">
        <v>367</v>
      </c>
      <c r="B347" s="8" t="s">
        <v>65</v>
      </c>
      <c r="C347" s="8" t="s">
        <v>378</v>
      </c>
      <c r="D347" s="9" t="s">
        <v>874</v>
      </c>
      <c r="E347" s="9">
        <v>43333</v>
      </c>
      <c r="F347" s="10">
        <v>43332</v>
      </c>
      <c r="G347" s="11">
        <v>43332</v>
      </c>
      <c r="H347" s="67"/>
      <c r="I347" s="68"/>
      <c r="J347" s="67"/>
      <c r="K347" s="14">
        <v>43334</v>
      </c>
      <c r="L347" s="9"/>
      <c r="M347" s="10" t="str">
        <f t="shared" si="57"/>
        <v>Aug-18</v>
      </c>
      <c r="N347" s="10" t="str">
        <f t="shared" si="58"/>
        <v>Aug-18</v>
      </c>
      <c r="O347" s="97" t="s">
        <v>872</v>
      </c>
      <c r="P347" s="98" t="s">
        <v>873</v>
      </c>
      <c r="Q347" s="99">
        <v>5862</v>
      </c>
      <c r="R347" s="73"/>
      <c r="S347" s="45">
        <f t="shared" si="63"/>
        <v>5862</v>
      </c>
      <c r="T347" s="64">
        <f t="shared" si="59"/>
        <v>6448.2000000000007</v>
      </c>
      <c r="U347" s="100"/>
      <c r="V347" s="100"/>
      <c r="W347" s="21">
        <f t="shared" si="62"/>
        <v>0</v>
      </c>
      <c r="X347" s="22">
        <f t="shared" si="60"/>
        <v>5862</v>
      </c>
      <c r="Y347" s="35">
        <f t="shared" si="61"/>
        <v>1</v>
      </c>
      <c r="Z347" s="20"/>
      <c r="AA347" s="11"/>
      <c r="AB347" s="20"/>
      <c r="AC347" s="24" t="s">
        <v>371</v>
      </c>
      <c r="AD347" s="10" t="s">
        <v>47</v>
      </c>
      <c r="AE347" s="70"/>
      <c r="AF347" s="71"/>
      <c r="AG347" s="70"/>
      <c r="AH347" s="72"/>
      <c r="AK347" s="27"/>
    </row>
    <row r="348" spans="1:37" s="26" customFormat="1" ht="14.25" customHeight="1" x14ac:dyDescent="0.45">
      <c r="A348" s="28" t="s">
        <v>367</v>
      </c>
      <c r="B348" s="8" t="s">
        <v>739</v>
      </c>
      <c r="C348" s="8" t="s">
        <v>378</v>
      </c>
      <c r="D348" s="9" t="s">
        <v>875</v>
      </c>
      <c r="E348" s="9">
        <v>43389</v>
      </c>
      <c r="F348" s="10">
        <v>43361</v>
      </c>
      <c r="G348" s="11">
        <v>43361</v>
      </c>
      <c r="H348" s="67"/>
      <c r="I348" s="68"/>
      <c r="J348" s="14">
        <v>43372</v>
      </c>
      <c r="K348" s="15">
        <f>J348+14</f>
        <v>43386</v>
      </c>
      <c r="L348" s="9"/>
      <c r="M348" s="10" t="str">
        <f t="shared" si="57"/>
        <v>Sep-18</v>
      </c>
      <c r="N348" s="10" t="str">
        <f t="shared" si="58"/>
        <v>Oct-18</v>
      </c>
      <c r="O348" s="97" t="s">
        <v>876</v>
      </c>
      <c r="P348" s="98" t="s">
        <v>877</v>
      </c>
      <c r="Q348" s="99">
        <f>16696.6-Q349</f>
        <v>11687.619999999999</v>
      </c>
      <c r="R348" s="45"/>
      <c r="S348" s="45">
        <f t="shared" si="63"/>
        <v>11687.619999999999</v>
      </c>
      <c r="T348" s="64">
        <f t="shared" si="59"/>
        <v>12856.382</v>
      </c>
      <c r="U348" s="65">
        <v>5745</v>
      </c>
      <c r="V348" s="65"/>
      <c r="W348" s="21">
        <f t="shared" si="62"/>
        <v>5745</v>
      </c>
      <c r="X348" s="22">
        <f t="shared" si="60"/>
        <v>5942.619999999999</v>
      </c>
      <c r="Y348" s="35">
        <f t="shared" si="61"/>
        <v>0.50845424474786138</v>
      </c>
      <c r="Z348" s="20"/>
      <c r="AA348" s="11"/>
      <c r="AB348" s="20"/>
      <c r="AC348" s="24" t="s">
        <v>371</v>
      </c>
      <c r="AD348" s="10" t="s">
        <v>47</v>
      </c>
      <c r="AE348" s="70"/>
      <c r="AF348" s="71"/>
      <c r="AG348" s="70"/>
      <c r="AH348" s="72"/>
      <c r="AK348" s="27"/>
    </row>
    <row r="349" spans="1:37" s="26" customFormat="1" ht="14.25" customHeight="1" x14ac:dyDescent="0.45">
      <c r="A349" s="28" t="s">
        <v>367</v>
      </c>
      <c r="B349" s="8" t="s">
        <v>739</v>
      </c>
      <c r="C349" s="8" t="s">
        <v>378</v>
      </c>
      <c r="D349" s="9" t="s">
        <v>878</v>
      </c>
      <c r="E349" s="9">
        <v>43333</v>
      </c>
      <c r="F349" s="10">
        <v>43332</v>
      </c>
      <c r="G349" s="11">
        <v>43332</v>
      </c>
      <c r="H349" s="67"/>
      <c r="I349" s="68"/>
      <c r="J349" s="67"/>
      <c r="K349" s="14">
        <v>43334</v>
      </c>
      <c r="L349" s="9"/>
      <c r="M349" s="10" t="str">
        <f t="shared" si="57"/>
        <v>Aug-18</v>
      </c>
      <c r="N349" s="10" t="str">
        <f t="shared" si="58"/>
        <v>Aug-18</v>
      </c>
      <c r="O349" s="97" t="s">
        <v>876</v>
      </c>
      <c r="P349" s="98" t="s">
        <v>877</v>
      </c>
      <c r="Q349" s="99">
        <v>5008.9799999999996</v>
      </c>
      <c r="R349" s="73"/>
      <c r="S349" s="45">
        <f t="shared" si="63"/>
        <v>5008.9799999999996</v>
      </c>
      <c r="T349" s="64">
        <f t="shared" si="59"/>
        <v>5509.8779999999997</v>
      </c>
      <c r="U349" s="100"/>
      <c r="V349" s="100"/>
      <c r="W349" s="21">
        <f t="shared" si="62"/>
        <v>0</v>
      </c>
      <c r="X349" s="22">
        <f t="shared" si="60"/>
        <v>5008.9799999999996</v>
      </c>
      <c r="Y349" s="35">
        <f t="shared" si="61"/>
        <v>1</v>
      </c>
      <c r="Z349" s="20"/>
      <c r="AA349" s="11"/>
      <c r="AB349" s="20"/>
      <c r="AC349" s="24" t="s">
        <v>371</v>
      </c>
      <c r="AD349" s="10" t="s">
        <v>47</v>
      </c>
      <c r="AE349" s="70"/>
      <c r="AF349" s="71"/>
      <c r="AG349" s="70"/>
      <c r="AH349" s="72"/>
      <c r="AK349" s="27"/>
    </row>
    <row r="350" spans="1:37" s="26" customFormat="1" ht="14.25" customHeight="1" x14ac:dyDescent="0.45">
      <c r="A350" s="28" t="s">
        <v>367</v>
      </c>
      <c r="B350" s="8" t="s">
        <v>512</v>
      </c>
      <c r="C350" s="8" t="s">
        <v>378</v>
      </c>
      <c r="D350" s="9" t="s">
        <v>879</v>
      </c>
      <c r="E350" s="9">
        <v>43121</v>
      </c>
      <c r="F350" s="10">
        <v>43427</v>
      </c>
      <c r="G350" s="11">
        <v>43427</v>
      </c>
      <c r="H350" s="14">
        <v>43433</v>
      </c>
      <c r="I350" s="54">
        <v>43441</v>
      </c>
      <c r="J350" s="14">
        <f>G350+14</f>
        <v>43441</v>
      </c>
      <c r="K350" s="15">
        <v>43487</v>
      </c>
      <c r="L350" s="9"/>
      <c r="M350" s="10" t="str">
        <f t="shared" si="57"/>
        <v>Nov-18</v>
      </c>
      <c r="N350" s="10" t="str">
        <f t="shared" si="58"/>
        <v>Jan-19</v>
      </c>
      <c r="O350" s="97" t="s">
        <v>880</v>
      </c>
      <c r="P350" s="98" t="s">
        <v>881</v>
      </c>
      <c r="Q350" s="99">
        <f>23060.4-Q351</f>
        <v>16142.280000000002</v>
      </c>
      <c r="R350" s="45">
        <v>23026.65</v>
      </c>
      <c r="S350" s="45">
        <f t="shared" si="63"/>
        <v>39168.930000000008</v>
      </c>
      <c r="T350" s="64">
        <f t="shared" si="59"/>
        <v>43085.823000000011</v>
      </c>
      <c r="U350" s="65">
        <v>25891.5</v>
      </c>
      <c r="V350" s="65"/>
      <c r="W350" s="21">
        <f t="shared" si="62"/>
        <v>25891.5</v>
      </c>
      <c r="X350" s="22">
        <f t="shared" si="60"/>
        <v>13277.430000000008</v>
      </c>
      <c r="Y350" s="35">
        <f t="shared" si="61"/>
        <v>0.33897862412886964</v>
      </c>
      <c r="Z350" s="20"/>
      <c r="AA350" s="11"/>
      <c r="AB350" s="20"/>
      <c r="AC350" s="24" t="s">
        <v>371</v>
      </c>
      <c r="AD350" s="10" t="s">
        <v>47</v>
      </c>
      <c r="AE350" s="70"/>
      <c r="AF350" s="71"/>
      <c r="AG350" s="70"/>
      <c r="AH350" s="72"/>
      <c r="AK350" s="27"/>
    </row>
    <row r="351" spans="1:37" s="26" customFormat="1" ht="14.25" customHeight="1" x14ac:dyDescent="0.45">
      <c r="A351" s="28" t="s">
        <v>367</v>
      </c>
      <c r="B351" s="8" t="s">
        <v>512</v>
      </c>
      <c r="C351" s="8" t="s">
        <v>378</v>
      </c>
      <c r="D351" s="9" t="s">
        <v>882</v>
      </c>
      <c r="E351" s="9">
        <v>43333</v>
      </c>
      <c r="F351" s="10">
        <v>43329</v>
      </c>
      <c r="G351" s="10">
        <v>43329</v>
      </c>
      <c r="H351" s="67"/>
      <c r="I351" s="68"/>
      <c r="J351" s="67"/>
      <c r="K351" s="14">
        <v>43334</v>
      </c>
      <c r="L351" s="9"/>
      <c r="M351" s="10" t="str">
        <f t="shared" si="57"/>
        <v>Aug-18</v>
      </c>
      <c r="N351" s="10" t="str">
        <f t="shared" si="58"/>
        <v>Aug-18</v>
      </c>
      <c r="O351" s="97" t="s">
        <v>880</v>
      </c>
      <c r="P351" s="98" t="s">
        <v>881</v>
      </c>
      <c r="Q351" s="99">
        <v>6918.12</v>
      </c>
      <c r="R351" s="73"/>
      <c r="S351" s="45">
        <f t="shared" si="63"/>
        <v>6918.12</v>
      </c>
      <c r="T351" s="64">
        <f t="shared" si="59"/>
        <v>7609.9320000000007</v>
      </c>
      <c r="U351" s="100"/>
      <c r="V351" s="100"/>
      <c r="W351" s="21">
        <f t="shared" si="62"/>
        <v>0</v>
      </c>
      <c r="X351" s="22">
        <f t="shared" si="60"/>
        <v>6918.12</v>
      </c>
      <c r="Y351" s="35">
        <f t="shared" si="61"/>
        <v>1</v>
      </c>
      <c r="Z351" s="20"/>
      <c r="AA351" s="11"/>
      <c r="AB351" s="20"/>
      <c r="AC351" s="24" t="s">
        <v>371</v>
      </c>
      <c r="AD351" s="10" t="s">
        <v>47</v>
      </c>
      <c r="AE351" s="70"/>
      <c r="AF351" s="71"/>
      <c r="AG351" s="70"/>
      <c r="AH351" s="72"/>
      <c r="AK351" s="27"/>
    </row>
    <row r="352" spans="1:37" s="26" customFormat="1" ht="14.25" customHeight="1" x14ac:dyDescent="0.45">
      <c r="A352" s="28" t="s">
        <v>367</v>
      </c>
      <c r="B352" s="8" t="s">
        <v>297</v>
      </c>
      <c r="C352" s="8" t="s">
        <v>378</v>
      </c>
      <c r="D352" s="9" t="s">
        <v>883</v>
      </c>
      <c r="E352" s="9">
        <v>43511</v>
      </c>
      <c r="F352" s="10">
        <v>43454</v>
      </c>
      <c r="G352" s="11">
        <v>43454</v>
      </c>
      <c r="H352" s="14">
        <v>43475</v>
      </c>
      <c r="I352" s="54">
        <v>43480</v>
      </c>
      <c r="J352" s="15">
        <v>43476</v>
      </c>
      <c r="K352" s="15">
        <v>43511</v>
      </c>
      <c r="L352" s="9"/>
      <c r="M352" s="10" t="str">
        <f t="shared" si="57"/>
        <v>Dec-18</v>
      </c>
      <c r="N352" s="10" t="str">
        <f t="shared" si="58"/>
        <v>Feb-19</v>
      </c>
      <c r="O352" s="97" t="s">
        <v>884</v>
      </c>
      <c r="P352" s="98" t="s">
        <v>885</v>
      </c>
      <c r="Q352" s="99">
        <f>53119.2-Q353</f>
        <v>37183.439999999995</v>
      </c>
      <c r="R352" s="32">
        <v>79437.365000000005</v>
      </c>
      <c r="S352" s="45">
        <f t="shared" si="63"/>
        <v>116620.80499999999</v>
      </c>
      <c r="T352" s="64">
        <f t="shared" si="59"/>
        <v>128282.8855</v>
      </c>
      <c r="U352" s="65">
        <v>26620</v>
      </c>
      <c r="V352" s="65"/>
      <c r="W352" s="21">
        <f t="shared" si="62"/>
        <v>26620</v>
      </c>
      <c r="X352" s="22">
        <f t="shared" si="60"/>
        <v>90000.804999999993</v>
      </c>
      <c r="Y352" s="35">
        <f t="shared" si="61"/>
        <v>0.77173884196734877</v>
      </c>
      <c r="Z352" s="20"/>
      <c r="AA352" s="11"/>
      <c r="AB352" s="20"/>
      <c r="AC352" s="24" t="s">
        <v>371</v>
      </c>
      <c r="AD352" s="10" t="s">
        <v>47</v>
      </c>
      <c r="AE352" s="70"/>
      <c r="AF352" s="71"/>
      <c r="AG352" s="70"/>
      <c r="AH352" s="72"/>
      <c r="AK352" s="27"/>
    </row>
    <row r="353" spans="1:37" s="26" customFormat="1" ht="14.25" customHeight="1" x14ac:dyDescent="0.45">
      <c r="A353" s="28" t="s">
        <v>367</v>
      </c>
      <c r="B353" s="8" t="s">
        <v>297</v>
      </c>
      <c r="C353" s="8" t="s">
        <v>378</v>
      </c>
      <c r="D353" s="9" t="s">
        <v>886</v>
      </c>
      <c r="E353" s="9">
        <v>43334</v>
      </c>
      <c r="F353" s="10">
        <v>43332</v>
      </c>
      <c r="G353" s="11">
        <v>43332</v>
      </c>
      <c r="H353" s="67"/>
      <c r="I353" s="68"/>
      <c r="J353" s="67"/>
      <c r="K353" s="14">
        <v>43335</v>
      </c>
      <c r="L353" s="9"/>
      <c r="M353" s="10" t="str">
        <f t="shared" si="57"/>
        <v>Aug-18</v>
      </c>
      <c r="N353" s="10" t="str">
        <f t="shared" si="58"/>
        <v>Aug-18</v>
      </c>
      <c r="O353" s="97" t="s">
        <v>884</v>
      </c>
      <c r="P353" s="98" t="s">
        <v>885</v>
      </c>
      <c r="Q353" s="99">
        <v>15935.76</v>
      </c>
      <c r="R353" s="73"/>
      <c r="S353" s="45">
        <f t="shared" si="63"/>
        <v>15935.76</v>
      </c>
      <c r="T353" s="64">
        <f t="shared" si="59"/>
        <v>17529.336000000003</v>
      </c>
      <c r="U353" s="100"/>
      <c r="V353" s="100"/>
      <c r="W353" s="21">
        <f t="shared" si="62"/>
        <v>0</v>
      </c>
      <c r="X353" s="22">
        <f t="shared" si="60"/>
        <v>15935.76</v>
      </c>
      <c r="Y353" s="35">
        <f t="shared" si="61"/>
        <v>1</v>
      </c>
      <c r="Z353" s="20"/>
      <c r="AA353" s="11"/>
      <c r="AB353" s="20"/>
      <c r="AC353" s="24" t="s">
        <v>371</v>
      </c>
      <c r="AD353" s="10" t="s">
        <v>47</v>
      </c>
      <c r="AE353" s="70"/>
      <c r="AF353" s="71"/>
      <c r="AG353" s="70"/>
      <c r="AH353" s="72"/>
      <c r="AK353" s="27"/>
    </row>
    <row r="354" spans="1:37" s="26" customFormat="1" ht="14.25" customHeight="1" x14ac:dyDescent="0.45">
      <c r="A354" s="28" t="s">
        <v>367</v>
      </c>
      <c r="B354" s="8" t="s">
        <v>129</v>
      </c>
      <c r="C354" s="8" t="s">
        <v>378</v>
      </c>
      <c r="D354" s="9" t="s">
        <v>887</v>
      </c>
      <c r="E354" s="9">
        <v>43414</v>
      </c>
      <c r="F354" s="10">
        <v>43404</v>
      </c>
      <c r="G354" s="11">
        <v>43404</v>
      </c>
      <c r="H354" s="14">
        <v>43418</v>
      </c>
      <c r="I354" s="54">
        <v>43427</v>
      </c>
      <c r="J354" s="14">
        <f>G354+14</f>
        <v>43418</v>
      </c>
      <c r="K354" s="14">
        <v>43445</v>
      </c>
      <c r="L354" s="9"/>
      <c r="M354" s="10" t="str">
        <f t="shared" si="57"/>
        <v>Oct-18</v>
      </c>
      <c r="N354" s="10" t="str">
        <f t="shared" si="58"/>
        <v>Dec-18</v>
      </c>
      <c r="O354" s="97" t="s">
        <v>888</v>
      </c>
      <c r="P354" s="98" t="s">
        <v>889</v>
      </c>
      <c r="Q354" s="99">
        <f>32944.6-Q355</f>
        <v>23061.22</v>
      </c>
      <c r="R354" s="45">
        <v>27144.99</v>
      </c>
      <c r="S354" s="45">
        <f t="shared" si="63"/>
        <v>50206.210000000006</v>
      </c>
      <c r="T354" s="64">
        <f t="shared" si="59"/>
        <v>55226.831000000013</v>
      </c>
      <c r="U354" s="65">
        <v>26655.5</v>
      </c>
      <c r="V354" s="65"/>
      <c r="W354" s="21">
        <f t="shared" si="62"/>
        <v>26655.5</v>
      </c>
      <c r="X354" s="22">
        <f t="shared" si="60"/>
        <v>23550.710000000006</v>
      </c>
      <c r="Y354" s="35">
        <f t="shared" si="61"/>
        <v>0.46907962182367485</v>
      </c>
      <c r="Z354" s="20"/>
      <c r="AA354" s="11"/>
      <c r="AB354" s="20"/>
      <c r="AC354" s="24" t="s">
        <v>371</v>
      </c>
      <c r="AD354" s="10" t="s">
        <v>47</v>
      </c>
      <c r="AE354" s="70"/>
      <c r="AF354" s="71"/>
      <c r="AG354" s="70"/>
      <c r="AH354" s="72"/>
      <c r="AK354" s="27"/>
    </row>
    <row r="355" spans="1:37" s="26" customFormat="1" ht="14.25" customHeight="1" x14ac:dyDescent="0.45">
      <c r="A355" s="28" t="s">
        <v>367</v>
      </c>
      <c r="B355" s="8" t="s">
        <v>129</v>
      </c>
      <c r="C355" s="8" t="s">
        <v>378</v>
      </c>
      <c r="D355" s="9" t="s">
        <v>890</v>
      </c>
      <c r="E355" s="9">
        <v>43333</v>
      </c>
      <c r="F355" s="10">
        <v>43332</v>
      </c>
      <c r="G355" s="11">
        <v>43332</v>
      </c>
      <c r="H355" s="67"/>
      <c r="I355" s="68"/>
      <c r="J355" s="67"/>
      <c r="K355" s="14">
        <v>43334</v>
      </c>
      <c r="L355" s="9"/>
      <c r="M355" s="10" t="str">
        <f t="shared" si="57"/>
        <v>Aug-18</v>
      </c>
      <c r="N355" s="10" t="str">
        <f t="shared" si="58"/>
        <v>Aug-18</v>
      </c>
      <c r="O355" s="97" t="s">
        <v>888</v>
      </c>
      <c r="P355" s="98" t="s">
        <v>889</v>
      </c>
      <c r="Q355" s="99">
        <v>9883.3799999999992</v>
      </c>
      <c r="R355" s="73"/>
      <c r="S355" s="45">
        <f t="shared" si="63"/>
        <v>9883.3799999999992</v>
      </c>
      <c r="T355" s="64">
        <f t="shared" si="59"/>
        <v>10871.718000000001</v>
      </c>
      <c r="U355" s="100"/>
      <c r="V355" s="100"/>
      <c r="W355" s="21">
        <f t="shared" si="62"/>
        <v>0</v>
      </c>
      <c r="X355" s="22">
        <f t="shared" si="60"/>
        <v>9883.3799999999992</v>
      </c>
      <c r="Y355" s="35">
        <f t="shared" si="61"/>
        <v>1</v>
      </c>
      <c r="Z355" s="20"/>
      <c r="AA355" s="11"/>
      <c r="AB355" s="20"/>
      <c r="AC355" s="24" t="s">
        <v>371</v>
      </c>
      <c r="AD355" s="10" t="s">
        <v>47</v>
      </c>
      <c r="AE355" s="70"/>
      <c r="AF355" s="71"/>
      <c r="AG355" s="70"/>
      <c r="AH355" s="72"/>
      <c r="AK355" s="27"/>
    </row>
    <row r="356" spans="1:37" s="26" customFormat="1" ht="14.25" customHeight="1" x14ac:dyDescent="0.45">
      <c r="A356" s="28" t="s">
        <v>367</v>
      </c>
      <c r="B356" s="8" t="s">
        <v>65</v>
      </c>
      <c r="C356" s="8" t="s">
        <v>378</v>
      </c>
      <c r="D356" s="9" t="s">
        <v>891</v>
      </c>
      <c r="E356" s="9">
        <v>43507</v>
      </c>
      <c r="F356" s="10">
        <v>43454</v>
      </c>
      <c r="G356" s="11">
        <v>43454</v>
      </c>
      <c r="H356" s="14">
        <v>43475</v>
      </c>
      <c r="I356" s="54">
        <v>43480</v>
      </c>
      <c r="J356" s="15">
        <v>43476</v>
      </c>
      <c r="K356" s="15">
        <v>43507</v>
      </c>
      <c r="L356" s="9"/>
      <c r="M356" s="10" t="str">
        <f t="shared" si="57"/>
        <v>Dec-18</v>
      </c>
      <c r="N356" s="10" t="str">
        <f t="shared" si="58"/>
        <v>Feb-19</v>
      </c>
      <c r="O356" s="97" t="s">
        <v>892</v>
      </c>
      <c r="P356" s="98" t="s">
        <v>893</v>
      </c>
      <c r="Q356" s="99">
        <f>27528.6-Q357</f>
        <v>19270.019999999997</v>
      </c>
      <c r="R356" s="45">
        <v>87068.444999999978</v>
      </c>
      <c r="S356" s="45">
        <f t="shared" si="63"/>
        <v>106338.46499999997</v>
      </c>
      <c r="T356" s="64">
        <f t="shared" si="59"/>
        <v>116972.31149999997</v>
      </c>
      <c r="U356" s="65">
        <v>70491.75</v>
      </c>
      <c r="V356" s="65"/>
      <c r="W356" s="21">
        <f t="shared" si="62"/>
        <v>70491.75</v>
      </c>
      <c r="X356" s="22">
        <f t="shared" si="60"/>
        <v>35846.714999999967</v>
      </c>
      <c r="Y356" s="35">
        <f t="shared" si="61"/>
        <v>0.33710017348849242</v>
      </c>
      <c r="Z356" s="20"/>
      <c r="AA356" s="11"/>
      <c r="AB356" s="20"/>
      <c r="AC356" s="24" t="s">
        <v>371</v>
      </c>
      <c r="AD356" s="10" t="s">
        <v>47</v>
      </c>
      <c r="AE356" s="70"/>
      <c r="AF356" s="71"/>
      <c r="AG356" s="70"/>
      <c r="AH356" s="72"/>
      <c r="AK356" s="27"/>
    </row>
    <row r="357" spans="1:37" s="26" customFormat="1" ht="14.25" customHeight="1" x14ac:dyDescent="0.45">
      <c r="A357" s="28" t="s">
        <v>367</v>
      </c>
      <c r="B357" s="8" t="s">
        <v>65</v>
      </c>
      <c r="C357" s="8" t="s">
        <v>378</v>
      </c>
      <c r="D357" s="9" t="s">
        <v>894</v>
      </c>
      <c r="E357" s="9">
        <v>43334</v>
      </c>
      <c r="F357" s="10">
        <v>43333</v>
      </c>
      <c r="G357" s="10">
        <v>43333</v>
      </c>
      <c r="H357" s="67"/>
      <c r="I357" s="68"/>
      <c r="J357" s="67"/>
      <c r="K357" s="14">
        <v>43335</v>
      </c>
      <c r="L357" s="9"/>
      <c r="M357" s="10" t="str">
        <f t="shared" si="57"/>
        <v>Aug-18</v>
      </c>
      <c r="N357" s="10" t="str">
        <f t="shared" si="58"/>
        <v>Aug-18</v>
      </c>
      <c r="O357" s="97" t="s">
        <v>892</v>
      </c>
      <c r="P357" s="98" t="s">
        <v>893</v>
      </c>
      <c r="Q357" s="99">
        <v>8258.58</v>
      </c>
      <c r="R357" s="73"/>
      <c r="S357" s="45">
        <f t="shared" si="63"/>
        <v>8258.58</v>
      </c>
      <c r="T357" s="64">
        <f t="shared" si="59"/>
        <v>9084.4380000000001</v>
      </c>
      <c r="U357" s="100"/>
      <c r="V357" s="100"/>
      <c r="W357" s="21">
        <f t="shared" si="62"/>
        <v>0</v>
      </c>
      <c r="X357" s="22">
        <f t="shared" si="60"/>
        <v>8258.58</v>
      </c>
      <c r="Y357" s="35">
        <f t="shared" si="61"/>
        <v>1</v>
      </c>
      <c r="Z357" s="20"/>
      <c r="AA357" s="11"/>
      <c r="AB357" s="20"/>
      <c r="AC357" s="24" t="s">
        <v>371</v>
      </c>
      <c r="AD357" s="10" t="s">
        <v>47</v>
      </c>
      <c r="AE357" s="70"/>
      <c r="AF357" s="71"/>
      <c r="AG357" s="70"/>
      <c r="AH357" s="72"/>
      <c r="AK357" s="27"/>
    </row>
    <row r="358" spans="1:37" s="26" customFormat="1" ht="14.25" customHeight="1" x14ac:dyDescent="0.45">
      <c r="A358" s="28" t="s">
        <v>367</v>
      </c>
      <c r="B358" s="8" t="s">
        <v>357</v>
      </c>
      <c r="C358" s="8" t="s">
        <v>378</v>
      </c>
      <c r="D358" s="9"/>
      <c r="E358" s="9"/>
      <c r="F358" s="10">
        <v>43488</v>
      </c>
      <c r="G358" s="10">
        <v>43488</v>
      </c>
      <c r="H358" s="55">
        <v>43488</v>
      </c>
      <c r="I358" s="54">
        <v>43496</v>
      </c>
      <c r="J358" s="14">
        <f>G358+14</f>
        <v>43502</v>
      </c>
      <c r="K358" s="51"/>
      <c r="L358" s="9"/>
      <c r="M358" s="10" t="str">
        <f t="shared" si="57"/>
        <v>Jan-19</v>
      </c>
      <c r="N358" s="10" t="str">
        <f t="shared" si="58"/>
        <v>Jan-00</v>
      </c>
      <c r="O358" s="97" t="s">
        <v>895</v>
      </c>
      <c r="P358" s="98" t="s">
        <v>896</v>
      </c>
      <c r="Q358" s="99">
        <v>7083.2</v>
      </c>
      <c r="R358" s="45">
        <v>-4050</v>
      </c>
      <c r="S358" s="45">
        <f t="shared" si="63"/>
        <v>3033.2</v>
      </c>
      <c r="T358" s="64">
        <f t="shared" si="59"/>
        <v>3336.52</v>
      </c>
      <c r="U358" s="65">
        <v>1512.25</v>
      </c>
      <c r="V358" s="65"/>
      <c r="W358" s="21">
        <f t="shared" si="62"/>
        <v>1512.25</v>
      </c>
      <c r="X358" s="22">
        <f t="shared" si="60"/>
        <v>1520.9499999999998</v>
      </c>
      <c r="Y358" s="35">
        <f t="shared" si="61"/>
        <v>0.50143412897270212</v>
      </c>
      <c r="Z358" s="20"/>
      <c r="AA358" s="11"/>
      <c r="AB358" s="20"/>
      <c r="AC358" s="24" t="s">
        <v>371</v>
      </c>
      <c r="AD358" s="10" t="s">
        <v>47</v>
      </c>
      <c r="AE358" s="70"/>
      <c r="AF358" s="71"/>
      <c r="AG358" s="70"/>
      <c r="AH358" s="72"/>
      <c r="AK358" s="27"/>
    </row>
    <row r="359" spans="1:37" s="26" customFormat="1" ht="14.25" customHeight="1" x14ac:dyDescent="0.45">
      <c r="A359" s="28" t="s">
        <v>367</v>
      </c>
      <c r="B359" s="8" t="s">
        <v>357</v>
      </c>
      <c r="C359" s="8" t="s">
        <v>378</v>
      </c>
      <c r="D359" s="9" t="s">
        <v>897</v>
      </c>
      <c r="E359" s="9">
        <v>43523</v>
      </c>
      <c r="F359" s="10">
        <v>43488</v>
      </c>
      <c r="G359" s="10">
        <v>43488</v>
      </c>
      <c r="H359" s="55">
        <v>43488</v>
      </c>
      <c r="I359" s="54">
        <v>43496</v>
      </c>
      <c r="J359" s="14">
        <f>G359+14</f>
        <v>43502</v>
      </c>
      <c r="K359" s="15">
        <v>43529</v>
      </c>
      <c r="L359" s="9"/>
      <c r="M359" s="10" t="str">
        <f t="shared" si="57"/>
        <v>Jan-19</v>
      </c>
      <c r="N359" s="10" t="str">
        <f t="shared" si="58"/>
        <v>Mar-19</v>
      </c>
      <c r="O359" s="97" t="s">
        <v>898</v>
      </c>
      <c r="P359" s="98" t="s">
        <v>899</v>
      </c>
      <c r="Q359" s="99">
        <v>2760.2</v>
      </c>
      <c r="R359" s="45">
        <v>1360</v>
      </c>
      <c r="S359" s="45">
        <f t="shared" si="63"/>
        <v>4120.2</v>
      </c>
      <c r="T359" s="64">
        <f t="shared" si="59"/>
        <v>4532.22</v>
      </c>
      <c r="U359" s="65">
        <v>1882.25</v>
      </c>
      <c r="V359" s="65"/>
      <c r="W359" s="21">
        <f t="shared" si="62"/>
        <v>1882.25</v>
      </c>
      <c r="X359" s="22">
        <f t="shared" si="60"/>
        <v>2237.9499999999998</v>
      </c>
      <c r="Y359" s="35">
        <f t="shared" si="61"/>
        <v>0.54316538032134365</v>
      </c>
      <c r="Z359" s="20"/>
      <c r="AA359" s="11"/>
      <c r="AB359" s="20"/>
      <c r="AC359" s="24" t="s">
        <v>371</v>
      </c>
      <c r="AD359" s="10" t="s">
        <v>47</v>
      </c>
      <c r="AE359" s="70"/>
      <c r="AF359" s="71"/>
      <c r="AG359" s="70"/>
      <c r="AH359" s="72"/>
      <c r="AK359" s="27"/>
    </row>
    <row r="360" spans="1:37" s="26" customFormat="1" ht="14.25" customHeight="1" x14ac:dyDescent="0.45">
      <c r="A360" s="28" t="s">
        <v>367</v>
      </c>
      <c r="B360" s="8" t="s">
        <v>65</v>
      </c>
      <c r="C360" s="8" t="s">
        <v>378</v>
      </c>
      <c r="D360" s="9" t="s">
        <v>900</v>
      </c>
      <c r="E360" s="9">
        <v>43389</v>
      </c>
      <c r="F360" s="10">
        <v>43355</v>
      </c>
      <c r="G360" s="9">
        <v>43355</v>
      </c>
      <c r="H360" s="14">
        <v>43377</v>
      </c>
      <c r="I360" s="54">
        <v>43382</v>
      </c>
      <c r="J360" s="14">
        <f>G360+14</f>
        <v>43369</v>
      </c>
      <c r="K360" s="15">
        <v>43391</v>
      </c>
      <c r="L360" s="9"/>
      <c r="M360" s="10" t="str">
        <f t="shared" si="57"/>
        <v>Sep-18</v>
      </c>
      <c r="N360" s="10" t="str">
        <f t="shared" si="58"/>
        <v>Oct-18</v>
      </c>
      <c r="O360" s="97" t="s">
        <v>901</v>
      </c>
      <c r="P360" s="98" t="s">
        <v>902</v>
      </c>
      <c r="Q360" s="99">
        <f>10062-Q361</f>
        <v>7043.4</v>
      </c>
      <c r="R360" s="45">
        <v>20906.775000000001</v>
      </c>
      <c r="S360" s="45">
        <f t="shared" si="63"/>
        <v>27950.175000000003</v>
      </c>
      <c r="T360" s="64">
        <f t="shared" si="59"/>
        <v>30745.192500000005</v>
      </c>
      <c r="U360" s="65">
        <f>2547.5+9155</f>
        <v>11702.5</v>
      </c>
      <c r="V360" s="65"/>
      <c r="W360" s="21">
        <f t="shared" si="62"/>
        <v>11702.5</v>
      </c>
      <c r="X360" s="22">
        <f t="shared" si="60"/>
        <v>16247.675000000003</v>
      </c>
      <c r="Y360" s="35">
        <f t="shared" si="61"/>
        <v>0.58130852490190132</v>
      </c>
      <c r="Z360" s="20"/>
      <c r="AA360" s="11"/>
      <c r="AB360" s="20"/>
      <c r="AC360" s="24" t="s">
        <v>371</v>
      </c>
      <c r="AD360" s="10" t="s">
        <v>47</v>
      </c>
      <c r="AE360" s="70"/>
      <c r="AF360" s="71"/>
      <c r="AG360" s="70"/>
      <c r="AH360" s="72"/>
      <c r="AK360" s="27"/>
    </row>
    <row r="361" spans="1:37" s="26" customFormat="1" ht="14.25" customHeight="1" x14ac:dyDescent="0.45">
      <c r="A361" s="28" t="s">
        <v>367</v>
      </c>
      <c r="B361" s="8" t="s">
        <v>65</v>
      </c>
      <c r="C361" s="8" t="s">
        <v>378</v>
      </c>
      <c r="D361" s="9" t="s">
        <v>903</v>
      </c>
      <c r="E361" s="9">
        <v>43341</v>
      </c>
      <c r="F361" s="9">
        <v>43339</v>
      </c>
      <c r="G361" s="9">
        <v>43339</v>
      </c>
      <c r="H361" s="67"/>
      <c r="I361" s="68"/>
      <c r="J361" s="67"/>
      <c r="K361" s="14">
        <v>43340</v>
      </c>
      <c r="L361" s="9"/>
      <c r="M361" s="10" t="str">
        <f t="shared" si="57"/>
        <v>Aug-18</v>
      </c>
      <c r="N361" s="10" t="str">
        <f t="shared" si="58"/>
        <v>Aug-18</v>
      </c>
      <c r="O361" s="97" t="s">
        <v>901</v>
      </c>
      <c r="P361" s="98" t="s">
        <v>902</v>
      </c>
      <c r="Q361" s="99">
        <v>3018.6</v>
      </c>
      <c r="R361" s="73"/>
      <c r="S361" s="45">
        <f t="shared" si="63"/>
        <v>3018.6</v>
      </c>
      <c r="T361" s="64">
        <f t="shared" si="59"/>
        <v>3320.46</v>
      </c>
      <c r="U361" s="100"/>
      <c r="V361" s="100"/>
      <c r="W361" s="21">
        <f t="shared" si="62"/>
        <v>0</v>
      </c>
      <c r="X361" s="22">
        <f t="shared" si="60"/>
        <v>3018.6</v>
      </c>
      <c r="Y361" s="35">
        <f t="shared" si="61"/>
        <v>1</v>
      </c>
      <c r="Z361" s="20"/>
      <c r="AA361" s="11"/>
      <c r="AB361" s="20"/>
      <c r="AC361" s="24" t="s">
        <v>371</v>
      </c>
      <c r="AD361" s="10" t="s">
        <v>47</v>
      </c>
      <c r="AE361" s="70"/>
      <c r="AF361" s="71"/>
      <c r="AG361" s="70"/>
      <c r="AH361" s="72"/>
      <c r="AK361" s="27"/>
    </row>
    <row r="362" spans="1:37" s="26" customFormat="1" ht="14.25" customHeight="1" x14ac:dyDescent="0.45">
      <c r="A362" s="28" t="s">
        <v>367</v>
      </c>
      <c r="B362" s="8" t="s">
        <v>35</v>
      </c>
      <c r="C362" s="8" t="s">
        <v>378</v>
      </c>
      <c r="D362" s="9" t="s">
        <v>904</v>
      </c>
      <c r="E362" s="9">
        <v>43364</v>
      </c>
      <c r="F362" s="10">
        <v>43339</v>
      </c>
      <c r="G362" s="10">
        <v>43339</v>
      </c>
      <c r="H362" s="14">
        <v>43339</v>
      </c>
      <c r="I362" s="54">
        <v>43342</v>
      </c>
      <c r="J362" s="14">
        <f>G362+14</f>
        <v>43353</v>
      </c>
      <c r="K362" s="14">
        <f>J362+14</f>
        <v>43367</v>
      </c>
      <c r="L362" s="9"/>
      <c r="M362" s="10" t="str">
        <f t="shared" si="57"/>
        <v>Aug-18</v>
      </c>
      <c r="N362" s="10" t="str">
        <f t="shared" si="58"/>
        <v>Sep-18</v>
      </c>
      <c r="O362" s="97" t="s">
        <v>905</v>
      </c>
      <c r="P362" s="98" t="s">
        <v>370</v>
      </c>
      <c r="Q362" s="99">
        <v>1121.45</v>
      </c>
      <c r="R362" s="32">
        <v>15716.44</v>
      </c>
      <c r="S362" s="32">
        <f t="shared" si="63"/>
        <v>16837.89</v>
      </c>
      <c r="T362" s="64">
        <f t="shared" si="59"/>
        <v>18521.679</v>
      </c>
      <c r="U362" s="65">
        <v>7252</v>
      </c>
      <c r="V362" s="65"/>
      <c r="W362" s="21">
        <f t="shared" si="62"/>
        <v>7252</v>
      </c>
      <c r="X362" s="22">
        <f t="shared" si="60"/>
        <v>9585.89</v>
      </c>
      <c r="Y362" s="35">
        <f t="shared" si="61"/>
        <v>0.56930470504320907</v>
      </c>
      <c r="Z362" s="20"/>
      <c r="AA362" s="11"/>
      <c r="AB362" s="20"/>
      <c r="AC362" s="24" t="s">
        <v>371</v>
      </c>
      <c r="AD362" s="10" t="s">
        <v>47</v>
      </c>
      <c r="AE362" s="70"/>
      <c r="AF362" s="71"/>
      <c r="AG362" s="70"/>
      <c r="AH362" s="72"/>
      <c r="AK362" s="27"/>
    </row>
    <row r="363" spans="1:37" s="26" customFormat="1" ht="14.25" customHeight="1" x14ac:dyDescent="0.45">
      <c r="A363" s="28" t="s">
        <v>367</v>
      </c>
      <c r="B363" s="8" t="s">
        <v>65</v>
      </c>
      <c r="C363" s="8" t="s">
        <v>378</v>
      </c>
      <c r="D363" s="9" t="s">
        <v>906</v>
      </c>
      <c r="E363" s="9">
        <v>43399</v>
      </c>
      <c r="F363" s="10">
        <v>43363</v>
      </c>
      <c r="G363" s="10">
        <v>43363</v>
      </c>
      <c r="H363" s="14">
        <v>43378</v>
      </c>
      <c r="I363" s="54">
        <v>43384</v>
      </c>
      <c r="J363" s="77">
        <f>G363+14</f>
        <v>43377</v>
      </c>
      <c r="K363" s="14">
        <f>I363+14</f>
        <v>43398</v>
      </c>
      <c r="L363" s="9"/>
      <c r="M363" s="10" t="str">
        <f t="shared" si="57"/>
        <v>Sep-18</v>
      </c>
      <c r="N363" s="10" t="str">
        <f t="shared" si="58"/>
        <v>Oct-18</v>
      </c>
      <c r="O363" s="97" t="s">
        <v>907</v>
      </c>
      <c r="P363" s="98" t="s">
        <v>908</v>
      </c>
      <c r="Q363" s="99">
        <v>1812.4</v>
      </c>
      <c r="R363" s="45">
        <v>8968.0300000000007</v>
      </c>
      <c r="S363" s="45">
        <f t="shared" si="63"/>
        <v>10780.43</v>
      </c>
      <c r="T363" s="64">
        <f t="shared" si="59"/>
        <v>11858.473000000002</v>
      </c>
      <c r="U363" s="65"/>
      <c r="V363" s="65"/>
      <c r="W363" s="21">
        <f t="shared" si="62"/>
        <v>0</v>
      </c>
      <c r="X363" s="22">
        <f t="shared" si="60"/>
        <v>10780.43</v>
      </c>
      <c r="Y363" s="35">
        <f t="shared" si="61"/>
        <v>1</v>
      </c>
      <c r="Z363" s="20"/>
      <c r="AA363" s="11"/>
      <c r="AB363" s="20"/>
      <c r="AC363" s="24" t="s">
        <v>371</v>
      </c>
      <c r="AD363" s="10" t="s">
        <v>47</v>
      </c>
      <c r="AE363" s="70"/>
      <c r="AF363" s="71"/>
      <c r="AG363" s="70"/>
      <c r="AH363" s="72"/>
      <c r="AK363" s="27"/>
    </row>
    <row r="364" spans="1:37" s="26" customFormat="1" ht="14.25" customHeight="1" x14ac:dyDescent="0.45">
      <c r="A364" s="28" t="s">
        <v>367</v>
      </c>
      <c r="B364" s="8" t="s">
        <v>357</v>
      </c>
      <c r="C364" s="8" t="s">
        <v>378</v>
      </c>
      <c r="D364" s="9" t="s">
        <v>909</v>
      </c>
      <c r="E364" s="9">
        <v>43389</v>
      </c>
      <c r="F364" s="10">
        <v>43361</v>
      </c>
      <c r="G364" s="11">
        <v>43361</v>
      </c>
      <c r="H364" s="67"/>
      <c r="I364" s="68"/>
      <c r="J364" s="14">
        <f>G364+14</f>
        <v>43375</v>
      </c>
      <c r="K364" s="77">
        <v>43391</v>
      </c>
      <c r="L364" s="9"/>
      <c r="M364" s="10" t="str">
        <f t="shared" si="57"/>
        <v>Sep-18</v>
      </c>
      <c r="N364" s="10" t="str">
        <f t="shared" si="58"/>
        <v>Oct-18</v>
      </c>
      <c r="O364" s="97" t="s">
        <v>910</v>
      </c>
      <c r="P364" s="98" t="s">
        <v>899</v>
      </c>
      <c r="Q364" s="99">
        <f>45536.8-Q365</f>
        <v>31875.760000000002</v>
      </c>
      <c r="R364" s="45"/>
      <c r="S364" s="45">
        <f t="shared" si="63"/>
        <v>31875.760000000002</v>
      </c>
      <c r="T364" s="64">
        <f t="shared" si="59"/>
        <v>35063.336000000003</v>
      </c>
      <c r="U364" s="65">
        <v>21354</v>
      </c>
      <c r="V364" s="65"/>
      <c r="W364" s="21">
        <f t="shared" si="62"/>
        <v>21354</v>
      </c>
      <c r="X364" s="22">
        <f t="shared" si="60"/>
        <v>10521.760000000002</v>
      </c>
      <c r="Y364" s="35">
        <f t="shared" si="61"/>
        <v>0.33008656107336737</v>
      </c>
      <c r="Z364" s="20"/>
      <c r="AA364" s="11"/>
      <c r="AB364" s="20"/>
      <c r="AC364" s="24" t="s">
        <v>371</v>
      </c>
      <c r="AD364" s="10" t="s">
        <v>47</v>
      </c>
      <c r="AE364" s="70"/>
      <c r="AF364" s="71"/>
      <c r="AG364" s="70"/>
      <c r="AH364" s="72"/>
      <c r="AK364" s="27"/>
    </row>
    <row r="365" spans="1:37" s="26" customFormat="1" ht="14.25" customHeight="1" x14ac:dyDescent="0.45">
      <c r="A365" s="28" t="s">
        <v>367</v>
      </c>
      <c r="B365" s="8" t="s">
        <v>357</v>
      </c>
      <c r="C365" s="8" t="s">
        <v>378</v>
      </c>
      <c r="D365" s="9" t="s">
        <v>911</v>
      </c>
      <c r="E365" s="9">
        <v>43342</v>
      </c>
      <c r="F365" s="10">
        <v>43340</v>
      </c>
      <c r="G365" s="11">
        <v>43340</v>
      </c>
      <c r="H365" s="67"/>
      <c r="I365" s="68"/>
      <c r="J365" s="67"/>
      <c r="K365" s="14">
        <v>43342</v>
      </c>
      <c r="L365" s="9"/>
      <c r="M365" s="10" t="str">
        <f t="shared" si="57"/>
        <v>Aug-18</v>
      </c>
      <c r="N365" s="10" t="str">
        <f t="shared" si="58"/>
        <v>Aug-18</v>
      </c>
      <c r="O365" s="97" t="s">
        <v>910</v>
      </c>
      <c r="P365" s="98" t="s">
        <v>899</v>
      </c>
      <c r="Q365" s="99">
        <v>13661.04</v>
      </c>
      <c r="R365" s="73"/>
      <c r="S365" s="45">
        <f t="shared" si="63"/>
        <v>13661.04</v>
      </c>
      <c r="T365" s="64">
        <f t="shared" si="59"/>
        <v>15027.144000000002</v>
      </c>
      <c r="U365" s="100"/>
      <c r="V365" s="100"/>
      <c r="W365" s="21">
        <f t="shared" si="62"/>
        <v>0</v>
      </c>
      <c r="X365" s="22">
        <f t="shared" si="60"/>
        <v>13661.04</v>
      </c>
      <c r="Y365" s="35">
        <f t="shared" si="61"/>
        <v>1</v>
      </c>
      <c r="Z365" s="20"/>
      <c r="AA365" s="11"/>
      <c r="AB365" s="20"/>
      <c r="AC365" s="24" t="s">
        <v>371</v>
      </c>
      <c r="AD365" s="10" t="s">
        <v>47</v>
      </c>
      <c r="AE365" s="70"/>
      <c r="AF365" s="71"/>
      <c r="AG365" s="70"/>
      <c r="AH365" s="72"/>
      <c r="AK365" s="27"/>
    </row>
    <row r="366" spans="1:37" s="26" customFormat="1" ht="14.25" customHeight="1" x14ac:dyDescent="0.45">
      <c r="A366" s="28" t="s">
        <v>41</v>
      </c>
      <c r="B366" s="8" t="s">
        <v>35</v>
      </c>
      <c r="C366" s="8" t="s">
        <v>36</v>
      </c>
      <c r="D366" s="9" t="s">
        <v>912</v>
      </c>
      <c r="E366" s="9">
        <v>43384</v>
      </c>
      <c r="F366" s="10">
        <v>43355</v>
      </c>
      <c r="G366" s="10">
        <v>43355</v>
      </c>
      <c r="H366" s="14">
        <v>43361</v>
      </c>
      <c r="I366" s="54">
        <v>43370</v>
      </c>
      <c r="J366" s="14">
        <f>G366+14</f>
        <v>43369</v>
      </c>
      <c r="K366" s="77">
        <v>43384</v>
      </c>
      <c r="L366" s="9"/>
      <c r="M366" s="10" t="str">
        <f t="shared" si="57"/>
        <v>Sep-18</v>
      </c>
      <c r="N366" s="10" t="str">
        <f t="shared" si="58"/>
        <v>Oct-18</v>
      </c>
      <c r="O366" s="17" t="s">
        <v>913</v>
      </c>
      <c r="P366" s="18" t="s">
        <v>81</v>
      </c>
      <c r="Q366" s="45">
        <v>708.6</v>
      </c>
      <c r="R366" s="45">
        <v>1766.46</v>
      </c>
      <c r="S366" s="45">
        <f t="shared" si="63"/>
        <v>2475.06</v>
      </c>
      <c r="T366" s="64">
        <f t="shared" si="59"/>
        <v>2722.5660000000003</v>
      </c>
      <c r="U366" s="65"/>
      <c r="V366" s="65">
        <v>312.43951999999996</v>
      </c>
      <c r="W366" s="21">
        <f t="shared" si="62"/>
        <v>312.43951999999996</v>
      </c>
      <c r="X366" s="22">
        <f t="shared" si="60"/>
        <v>2162.62048</v>
      </c>
      <c r="Y366" s="35">
        <f t="shared" si="61"/>
        <v>0.87376487034657746</v>
      </c>
      <c r="Z366" s="20"/>
      <c r="AA366" s="11"/>
      <c r="AB366" s="20"/>
      <c r="AC366" s="24" t="s">
        <v>73</v>
      </c>
      <c r="AD366" s="10" t="s">
        <v>47</v>
      </c>
      <c r="AE366" s="10">
        <v>43335</v>
      </c>
      <c r="AF366" s="48"/>
      <c r="AG366" s="10">
        <v>43418</v>
      </c>
      <c r="AH366" s="25">
        <f t="shared" ref="AH366:AH371" si="65">AG366-AE366</f>
        <v>83</v>
      </c>
      <c r="AK366" s="27"/>
    </row>
    <row r="367" spans="1:37" s="26" customFormat="1" ht="14.25" customHeight="1" x14ac:dyDescent="0.45">
      <c r="A367" s="8" t="s">
        <v>34</v>
      </c>
      <c r="B367" s="8" t="s">
        <v>35</v>
      </c>
      <c r="C367" s="8" t="s">
        <v>36</v>
      </c>
      <c r="D367" s="9" t="s">
        <v>914</v>
      </c>
      <c r="E367" s="9">
        <v>43388</v>
      </c>
      <c r="F367" s="10">
        <v>43364</v>
      </c>
      <c r="G367" s="10">
        <v>43364</v>
      </c>
      <c r="H367" s="14">
        <v>43367</v>
      </c>
      <c r="I367" s="54">
        <v>43370</v>
      </c>
      <c r="J367" s="12">
        <f>G367+14</f>
        <v>43378</v>
      </c>
      <c r="K367" s="14">
        <f>J367+14</f>
        <v>43392</v>
      </c>
      <c r="L367" s="9"/>
      <c r="M367" s="10" t="str">
        <f t="shared" si="57"/>
        <v>Sep-18</v>
      </c>
      <c r="N367" s="10" t="str">
        <f t="shared" si="58"/>
        <v>Oct-18</v>
      </c>
      <c r="O367" s="17" t="s">
        <v>915</v>
      </c>
      <c r="P367" s="18" t="s">
        <v>211</v>
      </c>
      <c r="Q367" s="45">
        <v>6198.97</v>
      </c>
      <c r="R367" s="45">
        <v>1439.14</v>
      </c>
      <c r="S367" s="45">
        <f t="shared" si="63"/>
        <v>7638.1100000000006</v>
      </c>
      <c r="T367" s="64">
        <f t="shared" si="59"/>
        <v>8401.9210000000021</v>
      </c>
      <c r="U367" s="65">
        <v>3490.36</v>
      </c>
      <c r="V367" s="65"/>
      <c r="W367" s="21">
        <f t="shared" si="62"/>
        <v>3490.36</v>
      </c>
      <c r="X367" s="22">
        <f t="shared" si="60"/>
        <v>4147.75</v>
      </c>
      <c r="Y367" s="35">
        <f t="shared" si="61"/>
        <v>0.54303355149375954</v>
      </c>
      <c r="Z367" s="20"/>
      <c r="AA367" s="11"/>
      <c r="AB367" s="20"/>
      <c r="AC367" s="74" t="s">
        <v>69</v>
      </c>
      <c r="AD367" s="10">
        <v>43332</v>
      </c>
      <c r="AE367" s="10">
        <v>43336</v>
      </c>
      <c r="AF367" s="63">
        <f>AE367-AD367</f>
        <v>4</v>
      </c>
      <c r="AG367" s="10">
        <v>43406</v>
      </c>
      <c r="AH367" s="25">
        <f t="shared" si="65"/>
        <v>70</v>
      </c>
      <c r="AK367" s="27"/>
    </row>
    <row r="368" spans="1:37" s="26" customFormat="1" ht="14.25" customHeight="1" x14ac:dyDescent="0.45">
      <c r="A368" s="28" t="s">
        <v>41</v>
      </c>
      <c r="B368" s="8" t="s">
        <v>35</v>
      </c>
      <c r="C368" s="8" t="s">
        <v>43</v>
      </c>
      <c r="D368" s="9" t="s">
        <v>916</v>
      </c>
      <c r="E368" s="9">
        <v>43433</v>
      </c>
      <c r="F368" s="10">
        <v>43375</v>
      </c>
      <c r="G368" s="11">
        <v>43375</v>
      </c>
      <c r="H368" s="15">
        <v>43389</v>
      </c>
      <c r="I368" s="49">
        <v>43418</v>
      </c>
      <c r="J368" s="14">
        <f>G368+14</f>
        <v>43389</v>
      </c>
      <c r="K368" s="77">
        <f>I368+14</f>
        <v>43432</v>
      </c>
      <c r="L368" s="9"/>
      <c r="M368" s="10" t="str">
        <f t="shared" si="57"/>
        <v>Oct-18</v>
      </c>
      <c r="N368" s="10" t="str">
        <f t="shared" si="58"/>
        <v>Nov-18</v>
      </c>
      <c r="O368" s="16" t="s">
        <v>917</v>
      </c>
      <c r="P368" s="18" t="s">
        <v>190</v>
      </c>
      <c r="Q368" s="45">
        <v>1881.87</v>
      </c>
      <c r="R368" s="45">
        <v>4671.38</v>
      </c>
      <c r="S368" s="45">
        <f t="shared" si="63"/>
        <v>6553.25</v>
      </c>
      <c r="T368" s="64">
        <f t="shared" si="59"/>
        <v>7208.5750000000007</v>
      </c>
      <c r="U368" s="65">
        <v>4043.06</v>
      </c>
      <c r="V368" s="34"/>
      <c r="W368" s="21">
        <f t="shared" si="62"/>
        <v>4043.06</v>
      </c>
      <c r="X368" s="22">
        <f t="shared" si="60"/>
        <v>2510.19</v>
      </c>
      <c r="Y368" s="35">
        <f t="shared" si="61"/>
        <v>0.3830450539808492</v>
      </c>
      <c r="Z368" s="20"/>
      <c r="AA368" s="11"/>
      <c r="AB368" s="20"/>
      <c r="AC368" s="24" t="s">
        <v>73</v>
      </c>
      <c r="AD368" s="10" t="s">
        <v>47</v>
      </c>
      <c r="AE368" s="10">
        <v>43318</v>
      </c>
      <c r="AF368" s="63"/>
      <c r="AG368" s="10">
        <v>43404</v>
      </c>
      <c r="AH368" s="25">
        <f t="shared" si="65"/>
        <v>86</v>
      </c>
      <c r="AK368" s="27"/>
    </row>
    <row r="369" spans="1:37" s="26" customFormat="1" ht="14.25" customHeight="1" x14ac:dyDescent="0.45">
      <c r="A369" s="28" t="s">
        <v>41</v>
      </c>
      <c r="B369" s="8" t="s">
        <v>56</v>
      </c>
      <c r="C369" s="8" t="s">
        <v>57</v>
      </c>
      <c r="D369" s="9"/>
      <c r="E369" s="9"/>
      <c r="F369" s="10"/>
      <c r="G369" s="10">
        <v>43554</v>
      </c>
      <c r="H369" s="51"/>
      <c r="I369" s="52"/>
      <c r="J369" s="51"/>
      <c r="K369" s="51"/>
      <c r="L369" s="9"/>
      <c r="M369" s="10" t="str">
        <f t="shared" si="57"/>
        <v>Mar-19</v>
      </c>
      <c r="N369" s="10" t="str">
        <f t="shared" si="58"/>
        <v>Jan-00</v>
      </c>
      <c r="O369" s="17" t="s">
        <v>918</v>
      </c>
      <c r="P369" s="18" t="s">
        <v>715</v>
      </c>
      <c r="Q369" s="45">
        <v>589.80999999999995</v>
      </c>
      <c r="R369" s="45"/>
      <c r="S369" s="45">
        <f t="shared" si="63"/>
        <v>589.80999999999995</v>
      </c>
      <c r="T369" s="64">
        <f t="shared" si="59"/>
        <v>648.79099999999994</v>
      </c>
      <c r="U369" s="65">
        <v>3111.48</v>
      </c>
      <c r="V369" s="65"/>
      <c r="W369" s="78">
        <f t="shared" si="62"/>
        <v>3111.48</v>
      </c>
      <c r="X369" s="22">
        <f t="shared" si="60"/>
        <v>-2521.67</v>
      </c>
      <c r="Y369" s="35">
        <f t="shared" si="61"/>
        <v>-4.2753937708753673</v>
      </c>
      <c r="Z369" s="20"/>
      <c r="AA369" s="11"/>
      <c r="AB369" s="20"/>
      <c r="AC369" s="24" t="s">
        <v>73</v>
      </c>
      <c r="AD369" s="10" t="s">
        <v>47</v>
      </c>
      <c r="AE369" s="10">
        <v>43339</v>
      </c>
      <c r="AF369" s="48"/>
      <c r="AG369" s="10">
        <v>43426</v>
      </c>
      <c r="AH369" s="25">
        <f t="shared" si="65"/>
        <v>87</v>
      </c>
      <c r="AK369" s="27"/>
    </row>
    <row r="370" spans="1:37" s="26" customFormat="1" ht="14.25" customHeight="1" x14ac:dyDescent="0.45">
      <c r="A370" s="28" t="s">
        <v>41</v>
      </c>
      <c r="B370" s="8" t="s">
        <v>35</v>
      </c>
      <c r="C370" s="8" t="s">
        <v>43</v>
      </c>
      <c r="D370" s="9" t="s">
        <v>919</v>
      </c>
      <c r="E370" s="9">
        <v>43448</v>
      </c>
      <c r="F370" s="10">
        <v>43420</v>
      </c>
      <c r="G370" s="11">
        <v>43420</v>
      </c>
      <c r="H370" s="67"/>
      <c r="I370" s="68"/>
      <c r="J370" s="14">
        <f>G370+14</f>
        <v>43434</v>
      </c>
      <c r="K370" s="15">
        <v>43447</v>
      </c>
      <c r="L370" s="9"/>
      <c r="M370" s="10" t="str">
        <f t="shared" si="57"/>
        <v>Nov-18</v>
      </c>
      <c r="N370" s="10" t="str">
        <f t="shared" si="58"/>
        <v>Dec-18</v>
      </c>
      <c r="O370" s="16" t="s">
        <v>920</v>
      </c>
      <c r="P370" s="18" t="s">
        <v>573</v>
      </c>
      <c r="Q370" s="45">
        <v>1990.1</v>
      </c>
      <c r="R370" s="73"/>
      <c r="S370" s="45">
        <f t="shared" si="63"/>
        <v>1990.1</v>
      </c>
      <c r="T370" s="64">
        <f t="shared" si="59"/>
        <v>2189.11</v>
      </c>
      <c r="U370" s="65"/>
      <c r="V370" s="65"/>
      <c r="W370" s="21">
        <f t="shared" si="62"/>
        <v>0</v>
      </c>
      <c r="X370" s="22">
        <f t="shared" si="60"/>
        <v>1990.1</v>
      </c>
      <c r="Y370" s="35">
        <f t="shared" si="61"/>
        <v>1</v>
      </c>
      <c r="Z370" s="20"/>
      <c r="AA370" s="11"/>
      <c r="AB370" s="20"/>
      <c r="AC370" s="24" t="s">
        <v>61</v>
      </c>
      <c r="AD370" s="10" t="s">
        <v>47</v>
      </c>
      <c r="AE370" s="10">
        <v>43318</v>
      </c>
      <c r="AF370" s="63"/>
      <c r="AG370" s="10">
        <v>43406</v>
      </c>
      <c r="AH370" s="25">
        <f t="shared" si="65"/>
        <v>88</v>
      </c>
      <c r="AK370" s="27"/>
    </row>
    <row r="371" spans="1:37" s="26" customFormat="1" ht="14.25" customHeight="1" x14ac:dyDescent="0.45">
      <c r="A371" s="28" t="s">
        <v>41</v>
      </c>
      <c r="B371" s="8" t="s">
        <v>512</v>
      </c>
      <c r="C371" s="8" t="s">
        <v>36</v>
      </c>
      <c r="D371" s="9" t="s">
        <v>921</v>
      </c>
      <c r="E371" s="9">
        <v>43360</v>
      </c>
      <c r="F371" s="10">
        <v>43340</v>
      </c>
      <c r="G371" s="10">
        <v>43340</v>
      </c>
      <c r="H371" s="67"/>
      <c r="I371" s="68"/>
      <c r="J371" s="77">
        <v>43355</v>
      </c>
      <c r="K371" s="14">
        <v>43361</v>
      </c>
      <c r="L371" s="9"/>
      <c r="M371" s="10" t="str">
        <f t="shared" si="57"/>
        <v>Aug-18</v>
      </c>
      <c r="N371" s="10" t="str">
        <f t="shared" si="58"/>
        <v>Sep-18</v>
      </c>
      <c r="O371" s="17" t="s">
        <v>922</v>
      </c>
      <c r="P371" s="18" t="s">
        <v>923</v>
      </c>
      <c r="Q371" s="45">
        <v>6367.25</v>
      </c>
      <c r="R371" s="73"/>
      <c r="S371" s="45">
        <f t="shared" si="63"/>
        <v>6367.25</v>
      </c>
      <c r="T371" s="64">
        <f t="shared" si="59"/>
        <v>7003.9750000000004</v>
      </c>
      <c r="U371" s="65"/>
      <c r="V371" s="65">
        <v>715.42399999999975</v>
      </c>
      <c r="W371" s="21">
        <f t="shared" si="62"/>
        <v>715.42399999999975</v>
      </c>
      <c r="X371" s="22">
        <f t="shared" si="60"/>
        <v>5651.826</v>
      </c>
      <c r="Y371" s="35">
        <f t="shared" si="61"/>
        <v>0.88764003298127137</v>
      </c>
      <c r="Z371" s="20"/>
      <c r="AA371" s="11"/>
      <c r="AB371" s="20"/>
      <c r="AC371" s="74" t="s">
        <v>69</v>
      </c>
      <c r="AD371" s="10">
        <v>43308</v>
      </c>
      <c r="AE371" s="10">
        <v>43313</v>
      </c>
      <c r="AF371" s="63">
        <f>AE371-AD371</f>
        <v>5</v>
      </c>
      <c r="AG371" s="10">
        <v>43385</v>
      </c>
      <c r="AH371" s="25">
        <f t="shared" si="65"/>
        <v>72</v>
      </c>
      <c r="AK371" s="27"/>
    </row>
    <row r="372" spans="1:37" s="26" customFormat="1" ht="14" customHeight="1" x14ac:dyDescent="0.45">
      <c r="A372" s="28" t="s">
        <v>367</v>
      </c>
      <c r="B372" s="8" t="s">
        <v>512</v>
      </c>
      <c r="C372" s="8" t="s">
        <v>378</v>
      </c>
      <c r="D372" s="9" t="s">
        <v>924</v>
      </c>
      <c r="E372" s="9">
        <v>43455</v>
      </c>
      <c r="F372" s="10">
        <v>43427</v>
      </c>
      <c r="G372" s="11">
        <v>43427</v>
      </c>
      <c r="H372" s="14">
        <v>43433</v>
      </c>
      <c r="I372" s="54">
        <v>43441</v>
      </c>
      <c r="J372" s="14">
        <f>G372+14</f>
        <v>43441</v>
      </c>
      <c r="K372" s="77">
        <v>43465</v>
      </c>
      <c r="L372" s="9"/>
      <c r="M372" s="10" t="str">
        <f t="shared" si="57"/>
        <v>Nov-18</v>
      </c>
      <c r="N372" s="10" t="str">
        <f t="shared" si="58"/>
        <v>Dec-18</v>
      </c>
      <c r="O372" s="97" t="s">
        <v>925</v>
      </c>
      <c r="P372" s="98" t="s">
        <v>881</v>
      </c>
      <c r="Q372" s="99">
        <f>27393.2-Q373</f>
        <v>19175.240000000002</v>
      </c>
      <c r="R372" s="45">
        <v>30129.185000000001</v>
      </c>
      <c r="S372" s="45">
        <f t="shared" si="63"/>
        <v>49304.425000000003</v>
      </c>
      <c r="T372" s="64">
        <f t="shared" si="59"/>
        <v>54234.867500000008</v>
      </c>
      <c r="U372" s="65">
        <v>25797.5</v>
      </c>
      <c r="V372" s="65"/>
      <c r="W372" s="21">
        <f t="shared" si="62"/>
        <v>25797.5</v>
      </c>
      <c r="X372" s="22">
        <f t="shared" si="60"/>
        <v>23506.925000000003</v>
      </c>
      <c r="Y372" s="35">
        <f t="shared" si="61"/>
        <v>0.47677110117398186</v>
      </c>
      <c r="Z372" s="20"/>
      <c r="AA372" s="11"/>
      <c r="AB372" s="20"/>
      <c r="AC372" s="24" t="s">
        <v>371</v>
      </c>
      <c r="AD372" s="10" t="s">
        <v>47</v>
      </c>
      <c r="AE372" s="70"/>
      <c r="AF372" s="71"/>
      <c r="AG372" s="70"/>
      <c r="AH372" s="72"/>
      <c r="AK372" s="27"/>
    </row>
    <row r="373" spans="1:37" s="26" customFormat="1" ht="14" customHeight="1" x14ac:dyDescent="0.45">
      <c r="A373" s="28" t="s">
        <v>367</v>
      </c>
      <c r="B373" s="8" t="s">
        <v>512</v>
      </c>
      <c r="C373" s="8" t="s">
        <v>378</v>
      </c>
      <c r="D373" s="9" t="s">
        <v>926</v>
      </c>
      <c r="E373" s="9">
        <v>43342</v>
      </c>
      <c r="F373" s="10">
        <v>43340</v>
      </c>
      <c r="G373" s="11">
        <v>43340</v>
      </c>
      <c r="H373" s="67"/>
      <c r="I373" s="68"/>
      <c r="J373" s="67"/>
      <c r="K373" s="14">
        <v>43342</v>
      </c>
      <c r="L373" s="9"/>
      <c r="M373" s="10" t="str">
        <f t="shared" si="57"/>
        <v>Aug-18</v>
      </c>
      <c r="N373" s="10" t="str">
        <f t="shared" si="58"/>
        <v>Aug-18</v>
      </c>
      <c r="O373" s="97" t="s">
        <v>925</v>
      </c>
      <c r="P373" s="98" t="s">
        <v>881</v>
      </c>
      <c r="Q373" s="99">
        <v>8217.9599999999991</v>
      </c>
      <c r="R373" s="73"/>
      <c r="S373" s="45">
        <f t="shared" si="63"/>
        <v>8217.9599999999991</v>
      </c>
      <c r="T373" s="64">
        <f t="shared" si="59"/>
        <v>9039.7559999999994</v>
      </c>
      <c r="U373" s="100"/>
      <c r="V373" s="100"/>
      <c r="W373" s="21">
        <f t="shared" si="62"/>
        <v>0</v>
      </c>
      <c r="X373" s="22">
        <f t="shared" si="60"/>
        <v>8217.9599999999991</v>
      </c>
      <c r="Y373" s="35">
        <f t="shared" si="61"/>
        <v>1</v>
      </c>
      <c r="Z373" s="20"/>
      <c r="AA373" s="11"/>
      <c r="AB373" s="20"/>
      <c r="AC373" s="24" t="s">
        <v>371</v>
      </c>
      <c r="AD373" s="10" t="s">
        <v>47</v>
      </c>
      <c r="AE373" s="70"/>
      <c r="AF373" s="71"/>
      <c r="AG373" s="70"/>
      <c r="AH373" s="72"/>
      <c r="AK373" s="27"/>
    </row>
    <row r="374" spans="1:37" s="26" customFormat="1" ht="14" customHeight="1" x14ac:dyDescent="0.45">
      <c r="A374" s="28" t="s">
        <v>367</v>
      </c>
      <c r="B374" s="8" t="s">
        <v>42</v>
      </c>
      <c r="C374" s="8" t="s">
        <v>378</v>
      </c>
      <c r="D374" s="9" t="s">
        <v>927</v>
      </c>
      <c r="E374" s="9">
        <v>43149</v>
      </c>
      <c r="F374" s="10">
        <v>43486</v>
      </c>
      <c r="G374" s="11">
        <v>43486</v>
      </c>
      <c r="H374" s="14">
        <v>43486</v>
      </c>
      <c r="I374" s="54">
        <v>43488</v>
      </c>
      <c r="J374" s="14">
        <f>G374+14</f>
        <v>43500</v>
      </c>
      <c r="K374" s="14">
        <v>43517</v>
      </c>
      <c r="L374" s="9"/>
      <c r="M374" s="10" t="str">
        <f t="shared" si="57"/>
        <v>Jan-19</v>
      </c>
      <c r="N374" s="10" t="str">
        <f t="shared" si="58"/>
        <v>Feb-19</v>
      </c>
      <c r="O374" s="97" t="s">
        <v>928</v>
      </c>
      <c r="P374" s="98" t="s">
        <v>581</v>
      </c>
      <c r="Q374" s="99">
        <f>8550.45-Q375</f>
        <v>5985.3150000000005</v>
      </c>
      <c r="R374" s="45">
        <v>3064.67</v>
      </c>
      <c r="S374" s="45">
        <f t="shared" si="63"/>
        <v>9049.9850000000006</v>
      </c>
      <c r="T374" s="64">
        <f t="shared" si="59"/>
        <v>9954.9835000000021</v>
      </c>
      <c r="U374" s="65">
        <v>3530</v>
      </c>
      <c r="V374" s="65"/>
      <c r="W374" s="21">
        <f t="shared" si="62"/>
        <v>3530</v>
      </c>
      <c r="X374" s="46">
        <f t="shared" si="60"/>
        <v>5519.9850000000006</v>
      </c>
      <c r="Y374" s="35">
        <f t="shared" si="61"/>
        <v>0.60994410487973183</v>
      </c>
      <c r="Z374" s="20"/>
      <c r="AA374" s="11"/>
      <c r="AB374" s="20"/>
      <c r="AC374" s="24" t="s">
        <v>371</v>
      </c>
      <c r="AD374" s="10" t="s">
        <v>47</v>
      </c>
      <c r="AE374" s="70"/>
      <c r="AF374" s="71"/>
      <c r="AG374" s="70"/>
      <c r="AH374" s="72"/>
      <c r="AK374" s="27"/>
    </row>
    <row r="375" spans="1:37" s="26" customFormat="1" ht="14" customHeight="1" x14ac:dyDescent="0.45">
      <c r="A375" s="28" t="s">
        <v>367</v>
      </c>
      <c r="B375" s="8" t="s">
        <v>42</v>
      </c>
      <c r="C375" s="8" t="s">
        <v>378</v>
      </c>
      <c r="D375" s="9" t="s">
        <v>929</v>
      </c>
      <c r="E375" s="9">
        <v>43342</v>
      </c>
      <c r="F375" s="10">
        <v>43340</v>
      </c>
      <c r="G375" s="11">
        <v>43340</v>
      </c>
      <c r="H375" s="67"/>
      <c r="I375" s="68"/>
      <c r="J375" s="67"/>
      <c r="K375" s="14">
        <v>43342</v>
      </c>
      <c r="L375" s="9"/>
      <c r="M375" s="10" t="str">
        <f t="shared" si="57"/>
        <v>Aug-18</v>
      </c>
      <c r="N375" s="10" t="str">
        <f t="shared" si="58"/>
        <v>Aug-18</v>
      </c>
      <c r="O375" s="97" t="s">
        <v>928</v>
      </c>
      <c r="P375" s="98" t="s">
        <v>581</v>
      </c>
      <c r="Q375" s="99">
        <v>2565.1350000000002</v>
      </c>
      <c r="R375" s="73"/>
      <c r="S375" s="45">
        <f t="shared" si="63"/>
        <v>2565.1350000000002</v>
      </c>
      <c r="T375" s="64">
        <f t="shared" si="59"/>
        <v>2821.6485000000007</v>
      </c>
      <c r="U375" s="100"/>
      <c r="V375" s="100"/>
      <c r="W375" s="21">
        <f t="shared" si="62"/>
        <v>0</v>
      </c>
      <c r="X375" s="22">
        <f t="shared" si="60"/>
        <v>2565.1350000000002</v>
      </c>
      <c r="Y375" s="35">
        <f t="shared" si="61"/>
        <v>1</v>
      </c>
      <c r="Z375" s="20"/>
      <c r="AA375" s="11"/>
      <c r="AB375" s="20"/>
      <c r="AC375" s="24" t="s">
        <v>371</v>
      </c>
      <c r="AD375" s="10" t="s">
        <v>47</v>
      </c>
      <c r="AE375" s="70"/>
      <c r="AF375" s="71"/>
      <c r="AG375" s="70"/>
      <c r="AH375" s="72"/>
      <c r="AK375" s="27"/>
    </row>
    <row r="376" spans="1:37" s="26" customFormat="1" ht="14" customHeight="1" x14ac:dyDescent="0.45">
      <c r="A376" s="28" t="s">
        <v>367</v>
      </c>
      <c r="B376" s="8" t="s">
        <v>297</v>
      </c>
      <c r="C376" s="8" t="s">
        <v>378</v>
      </c>
      <c r="D376" s="9" t="s">
        <v>930</v>
      </c>
      <c r="E376" s="9">
        <v>43503</v>
      </c>
      <c r="F376" s="10">
        <v>43454</v>
      </c>
      <c r="G376" s="11">
        <v>43454</v>
      </c>
      <c r="H376" s="14">
        <v>43473</v>
      </c>
      <c r="I376" s="54">
        <v>43480</v>
      </c>
      <c r="J376" s="15">
        <v>43476</v>
      </c>
      <c r="K376" s="15">
        <v>43503</v>
      </c>
      <c r="L376" s="9"/>
      <c r="M376" s="10" t="str">
        <f t="shared" si="57"/>
        <v>Dec-18</v>
      </c>
      <c r="N376" s="10" t="str">
        <f t="shared" si="58"/>
        <v>Feb-19</v>
      </c>
      <c r="O376" s="97" t="s">
        <v>931</v>
      </c>
      <c r="P376" s="98" t="s">
        <v>932</v>
      </c>
      <c r="Q376" s="99">
        <f>24414.4-Q377</f>
        <v>17090.056</v>
      </c>
      <c r="R376" s="45">
        <v>47973.16</v>
      </c>
      <c r="S376" s="45">
        <f t="shared" si="63"/>
        <v>65063.216</v>
      </c>
      <c r="T376" s="64">
        <f t="shared" si="59"/>
        <v>71569.537600000011</v>
      </c>
      <c r="U376" s="65">
        <v>35510.25</v>
      </c>
      <c r="V376" s="65"/>
      <c r="W376" s="21">
        <f t="shared" si="62"/>
        <v>35510.25</v>
      </c>
      <c r="X376" s="22">
        <f t="shared" si="60"/>
        <v>29552.966</v>
      </c>
      <c r="Y376" s="35">
        <f t="shared" si="61"/>
        <v>0.45421926269368545</v>
      </c>
      <c r="Z376" s="20"/>
      <c r="AA376" s="11"/>
      <c r="AB376" s="20"/>
      <c r="AC376" s="24" t="s">
        <v>371</v>
      </c>
      <c r="AD376" s="10" t="s">
        <v>47</v>
      </c>
      <c r="AE376" s="70"/>
      <c r="AF376" s="71"/>
      <c r="AG376" s="70"/>
      <c r="AH376" s="72"/>
      <c r="AK376" s="27"/>
    </row>
    <row r="377" spans="1:37" s="26" customFormat="1" ht="14" customHeight="1" x14ac:dyDescent="0.45">
      <c r="A377" s="28" t="s">
        <v>367</v>
      </c>
      <c r="B377" s="8" t="s">
        <v>297</v>
      </c>
      <c r="C377" s="8" t="s">
        <v>378</v>
      </c>
      <c r="D377" s="9" t="s">
        <v>933</v>
      </c>
      <c r="E377" s="9">
        <v>43342</v>
      </c>
      <c r="F377" s="10">
        <v>43340</v>
      </c>
      <c r="G377" s="11">
        <v>43340</v>
      </c>
      <c r="H377" s="67"/>
      <c r="I377" s="68"/>
      <c r="J377" s="67"/>
      <c r="K377" s="14">
        <v>43342</v>
      </c>
      <c r="L377" s="9"/>
      <c r="M377" s="10" t="str">
        <f t="shared" si="57"/>
        <v>Aug-18</v>
      </c>
      <c r="N377" s="10" t="str">
        <f t="shared" si="58"/>
        <v>Aug-18</v>
      </c>
      <c r="O377" s="97" t="s">
        <v>931</v>
      </c>
      <c r="P377" s="98" t="s">
        <v>932</v>
      </c>
      <c r="Q377" s="99">
        <f>24414.48*0.3</f>
        <v>7324.3440000000001</v>
      </c>
      <c r="R377" s="73"/>
      <c r="S377" s="45">
        <f t="shared" si="63"/>
        <v>7324.3440000000001</v>
      </c>
      <c r="T377" s="64">
        <f t="shared" si="59"/>
        <v>8056.7784000000011</v>
      </c>
      <c r="U377" s="100"/>
      <c r="V377" s="100"/>
      <c r="W377" s="21">
        <f t="shared" si="62"/>
        <v>0</v>
      </c>
      <c r="X377" s="22">
        <f t="shared" si="60"/>
        <v>7324.3440000000001</v>
      </c>
      <c r="Y377" s="35">
        <f t="shared" si="61"/>
        <v>1</v>
      </c>
      <c r="Z377" s="20"/>
      <c r="AA377" s="11"/>
      <c r="AB377" s="20"/>
      <c r="AC377" s="24" t="s">
        <v>371</v>
      </c>
      <c r="AD377" s="10" t="s">
        <v>47</v>
      </c>
      <c r="AE377" s="70"/>
      <c r="AF377" s="71"/>
      <c r="AG377" s="70"/>
      <c r="AH377" s="72"/>
      <c r="AK377" s="27"/>
    </row>
    <row r="378" spans="1:37" s="26" customFormat="1" ht="14" customHeight="1" x14ac:dyDescent="0.45">
      <c r="A378" s="28" t="s">
        <v>262</v>
      </c>
      <c r="B378" s="8" t="s">
        <v>863</v>
      </c>
      <c r="C378" s="8"/>
      <c r="D378" s="9" t="s">
        <v>934</v>
      </c>
      <c r="E378" s="9">
        <v>43291</v>
      </c>
      <c r="F378" s="10">
        <v>43258</v>
      </c>
      <c r="G378" s="10">
        <v>43258</v>
      </c>
      <c r="H378" s="67"/>
      <c r="I378" s="68"/>
      <c r="J378" s="15">
        <f>G378+14</f>
        <v>43272</v>
      </c>
      <c r="K378" s="15">
        <v>43315</v>
      </c>
      <c r="L378" s="9"/>
      <c r="M378" s="10" t="str">
        <f t="shared" si="57"/>
        <v>Jun-18</v>
      </c>
      <c r="N378" s="10" t="str">
        <f t="shared" si="58"/>
        <v>Aug-18</v>
      </c>
      <c r="O378" s="16" t="s">
        <v>935</v>
      </c>
      <c r="P378" s="18" t="s">
        <v>936</v>
      </c>
      <c r="Q378" s="45">
        <v>139911.24315249996</v>
      </c>
      <c r="R378" s="73"/>
      <c r="S378" s="45">
        <f t="shared" si="63"/>
        <v>139911.24315249996</v>
      </c>
      <c r="T378" s="64">
        <f t="shared" si="59"/>
        <v>153902.36746774995</v>
      </c>
      <c r="U378" s="34">
        <v>104665.7</v>
      </c>
      <c r="V378" s="65"/>
      <c r="W378" s="78">
        <f t="shared" si="62"/>
        <v>104665.7</v>
      </c>
      <c r="X378" s="22">
        <f t="shared" si="60"/>
        <v>35245.543152499959</v>
      </c>
      <c r="Y378" s="35">
        <f t="shared" si="61"/>
        <v>0.25191358720244628</v>
      </c>
      <c r="Z378" s="20"/>
      <c r="AA378" s="11">
        <f>G378+14</f>
        <v>43272</v>
      </c>
      <c r="AB378" s="20"/>
      <c r="AC378" s="24" t="s">
        <v>266</v>
      </c>
      <c r="AD378" s="10" t="s">
        <v>47</v>
      </c>
      <c r="AE378" s="10">
        <v>43210</v>
      </c>
      <c r="AF378" s="48"/>
      <c r="AG378" s="10">
        <v>43257</v>
      </c>
      <c r="AH378" s="25">
        <f>AG378-AE378</f>
        <v>47</v>
      </c>
      <c r="AK378" s="27"/>
    </row>
    <row r="379" spans="1:37" s="26" customFormat="1" ht="14" customHeight="1" x14ac:dyDescent="0.45">
      <c r="A379" s="28" t="s">
        <v>367</v>
      </c>
      <c r="B379" s="8" t="s">
        <v>297</v>
      </c>
      <c r="C379" s="8" t="s">
        <v>378</v>
      </c>
      <c r="D379" s="9" t="s">
        <v>937</v>
      </c>
      <c r="E379" s="9">
        <v>43501</v>
      </c>
      <c r="F379" s="10">
        <v>43454</v>
      </c>
      <c r="G379" s="11">
        <v>43454</v>
      </c>
      <c r="H379" s="14">
        <v>43473</v>
      </c>
      <c r="I379" s="54">
        <v>43479</v>
      </c>
      <c r="J379" s="15">
        <v>43107</v>
      </c>
      <c r="K379" s="15">
        <v>43501</v>
      </c>
      <c r="L379" s="9"/>
      <c r="M379" s="10" t="str">
        <f t="shared" si="57"/>
        <v>Dec-18</v>
      </c>
      <c r="N379" s="10" t="str">
        <f t="shared" si="58"/>
        <v>Feb-19</v>
      </c>
      <c r="O379" s="97" t="s">
        <v>938</v>
      </c>
      <c r="P379" s="98" t="s">
        <v>939</v>
      </c>
      <c r="Q379" s="99">
        <f>44318.2-Q380</f>
        <v>31022.739999999998</v>
      </c>
      <c r="R379" s="45">
        <v>138446.125</v>
      </c>
      <c r="S379" s="45">
        <f t="shared" si="63"/>
        <v>169468.86499999999</v>
      </c>
      <c r="T379" s="64">
        <f t="shared" si="59"/>
        <v>186415.75150000001</v>
      </c>
      <c r="U379" s="65">
        <v>121750.75</v>
      </c>
      <c r="V379" s="65"/>
      <c r="W379" s="21">
        <f t="shared" si="62"/>
        <v>121750.75</v>
      </c>
      <c r="X379" s="22">
        <f t="shared" si="60"/>
        <v>47718.114999999991</v>
      </c>
      <c r="Y379" s="35">
        <f t="shared" si="61"/>
        <v>0.2815745240283517</v>
      </c>
      <c r="Z379" s="20"/>
      <c r="AA379" s="11"/>
      <c r="AB379" s="20"/>
      <c r="AC379" s="24" t="s">
        <v>371</v>
      </c>
      <c r="AD379" s="10" t="s">
        <v>47</v>
      </c>
      <c r="AE379" s="70"/>
      <c r="AF379" s="71"/>
      <c r="AG379" s="70"/>
      <c r="AH379" s="72"/>
      <c r="AK379" s="27"/>
    </row>
    <row r="380" spans="1:37" s="26" customFormat="1" ht="14" customHeight="1" x14ac:dyDescent="0.45">
      <c r="A380" s="28" t="s">
        <v>367</v>
      </c>
      <c r="B380" s="8" t="s">
        <v>297</v>
      </c>
      <c r="C380" s="8" t="s">
        <v>378</v>
      </c>
      <c r="D380" s="9" t="s">
        <v>940</v>
      </c>
      <c r="E380" s="9">
        <v>43342</v>
      </c>
      <c r="F380" s="10">
        <v>43340</v>
      </c>
      <c r="G380" s="11">
        <v>43340</v>
      </c>
      <c r="H380" s="67"/>
      <c r="I380" s="68"/>
      <c r="J380" s="67"/>
      <c r="K380" s="14">
        <v>43342</v>
      </c>
      <c r="L380" s="9"/>
      <c r="M380" s="10" t="str">
        <f t="shared" si="57"/>
        <v>Aug-18</v>
      </c>
      <c r="N380" s="10" t="str">
        <f t="shared" si="58"/>
        <v>Aug-18</v>
      </c>
      <c r="O380" s="97" t="s">
        <v>938</v>
      </c>
      <c r="P380" s="98" t="s">
        <v>939</v>
      </c>
      <c r="Q380" s="99">
        <v>13295.46</v>
      </c>
      <c r="R380" s="73"/>
      <c r="S380" s="45">
        <f t="shared" si="63"/>
        <v>13295.46</v>
      </c>
      <c r="T380" s="64">
        <f t="shared" si="59"/>
        <v>14625.005999999999</v>
      </c>
      <c r="U380" s="100"/>
      <c r="V380" s="100"/>
      <c r="W380" s="21">
        <f t="shared" si="62"/>
        <v>0</v>
      </c>
      <c r="X380" s="22">
        <f t="shared" si="60"/>
        <v>13295.46</v>
      </c>
      <c r="Y380" s="35">
        <f t="shared" si="61"/>
        <v>1</v>
      </c>
      <c r="Z380" s="20"/>
      <c r="AA380" s="11"/>
      <c r="AB380" s="20"/>
      <c r="AC380" s="24" t="s">
        <v>371</v>
      </c>
      <c r="AD380" s="10" t="s">
        <v>47</v>
      </c>
      <c r="AE380" s="70"/>
      <c r="AF380" s="71"/>
      <c r="AG380" s="70"/>
      <c r="AH380" s="72"/>
      <c r="AK380" s="27"/>
    </row>
    <row r="381" spans="1:37" s="26" customFormat="1" ht="14" customHeight="1" x14ac:dyDescent="0.45">
      <c r="A381" s="28" t="s">
        <v>367</v>
      </c>
      <c r="B381" s="8" t="s">
        <v>297</v>
      </c>
      <c r="C381" s="8" t="s">
        <v>378</v>
      </c>
      <c r="D381" s="9" t="s">
        <v>941</v>
      </c>
      <c r="E381" s="9">
        <v>43342</v>
      </c>
      <c r="F381" s="10">
        <v>43340</v>
      </c>
      <c r="G381" s="11">
        <v>43340</v>
      </c>
      <c r="H381" s="67"/>
      <c r="I381" s="68"/>
      <c r="J381" s="67"/>
      <c r="K381" s="14">
        <v>43342</v>
      </c>
      <c r="L381" s="9"/>
      <c r="M381" s="10" t="str">
        <f t="shared" si="57"/>
        <v>Aug-18</v>
      </c>
      <c r="N381" s="10" t="str">
        <f t="shared" si="58"/>
        <v>Aug-18</v>
      </c>
      <c r="O381" s="97" t="s">
        <v>942</v>
      </c>
      <c r="P381" s="98" t="s">
        <v>943</v>
      </c>
      <c r="Q381" s="99">
        <v>3790.38</v>
      </c>
      <c r="R381" s="73"/>
      <c r="S381" s="45">
        <f t="shared" si="63"/>
        <v>3790.38</v>
      </c>
      <c r="T381" s="64">
        <f t="shared" si="59"/>
        <v>4169.4180000000006</v>
      </c>
      <c r="U381" s="100"/>
      <c r="V381" s="133"/>
      <c r="W381" s="21">
        <f t="shared" si="62"/>
        <v>0</v>
      </c>
      <c r="X381" s="22">
        <f t="shared" si="60"/>
        <v>3790.38</v>
      </c>
      <c r="Y381" s="35">
        <f t="shared" si="61"/>
        <v>1</v>
      </c>
      <c r="Z381" s="20"/>
      <c r="AA381" s="11"/>
      <c r="AB381" s="20"/>
      <c r="AC381" s="24" t="s">
        <v>371</v>
      </c>
      <c r="AD381" s="10" t="s">
        <v>47</v>
      </c>
      <c r="AE381" s="70"/>
      <c r="AF381" s="71"/>
      <c r="AG381" s="70"/>
      <c r="AH381" s="72"/>
      <c r="AK381" s="27"/>
    </row>
    <row r="382" spans="1:37" s="26" customFormat="1" ht="14" customHeight="1" x14ac:dyDescent="0.45">
      <c r="A382" s="28" t="s">
        <v>367</v>
      </c>
      <c r="B382" s="8" t="s">
        <v>297</v>
      </c>
      <c r="C382" s="8" t="s">
        <v>378</v>
      </c>
      <c r="D382" s="9" t="s">
        <v>944</v>
      </c>
      <c r="E382" s="9">
        <v>43439</v>
      </c>
      <c r="F382" s="10">
        <v>43418</v>
      </c>
      <c r="G382" s="11">
        <v>43418</v>
      </c>
      <c r="H382" s="14">
        <v>43423</v>
      </c>
      <c r="I382" s="54">
        <v>43427</v>
      </c>
      <c r="J382" s="14">
        <v>43431</v>
      </c>
      <c r="K382" s="14">
        <v>43438</v>
      </c>
      <c r="L382" s="9"/>
      <c r="M382" s="10" t="str">
        <f t="shared" si="57"/>
        <v>Nov-18</v>
      </c>
      <c r="N382" s="10" t="str">
        <f t="shared" si="58"/>
        <v>Dec-18</v>
      </c>
      <c r="O382" s="97" t="s">
        <v>942</v>
      </c>
      <c r="P382" s="98" t="s">
        <v>943</v>
      </c>
      <c r="Q382" s="99">
        <f>12634.6-Q381</f>
        <v>8844.2200000000012</v>
      </c>
      <c r="R382" s="45">
        <v>33294.28</v>
      </c>
      <c r="S382" s="45">
        <f t="shared" si="63"/>
        <v>42138.5</v>
      </c>
      <c r="T382" s="64">
        <f t="shared" si="59"/>
        <v>46352.350000000006</v>
      </c>
      <c r="U382" s="65">
        <v>23171.5</v>
      </c>
      <c r="V382" s="65"/>
      <c r="W382" s="21">
        <f t="shared" si="62"/>
        <v>23171.5</v>
      </c>
      <c r="X382" s="22">
        <f t="shared" si="60"/>
        <v>18967</v>
      </c>
      <c r="Y382" s="35">
        <f t="shared" si="61"/>
        <v>0.45011094367383747</v>
      </c>
      <c r="Z382" s="20"/>
      <c r="AA382" s="11"/>
      <c r="AB382" s="20"/>
      <c r="AC382" s="24" t="s">
        <v>371</v>
      </c>
      <c r="AD382" s="10" t="s">
        <v>47</v>
      </c>
      <c r="AE382" s="70"/>
      <c r="AF382" s="71"/>
      <c r="AG382" s="70"/>
      <c r="AH382" s="72"/>
      <c r="AK382" s="27"/>
    </row>
    <row r="383" spans="1:37" s="26" customFormat="1" ht="14" customHeight="1" x14ac:dyDescent="0.45">
      <c r="A383" s="8" t="s">
        <v>34</v>
      </c>
      <c r="B383" s="8" t="s">
        <v>56</v>
      </c>
      <c r="C383" s="8" t="s">
        <v>57</v>
      </c>
      <c r="D383" s="9"/>
      <c r="E383" s="9"/>
      <c r="F383" s="10"/>
      <c r="G383" s="11">
        <v>43524</v>
      </c>
      <c r="H383" s="51"/>
      <c r="I383" s="52"/>
      <c r="J383" s="51"/>
      <c r="K383" s="51"/>
      <c r="L383" s="9"/>
      <c r="M383" s="10" t="str">
        <f t="shared" si="57"/>
        <v>Feb-19</v>
      </c>
      <c r="N383" s="10" t="str">
        <f t="shared" si="58"/>
        <v>Jan-00</v>
      </c>
      <c r="O383" s="17" t="s">
        <v>945</v>
      </c>
      <c r="P383" s="33" t="s">
        <v>59</v>
      </c>
      <c r="Q383" s="45">
        <v>3135.13</v>
      </c>
      <c r="R383" s="45"/>
      <c r="S383" s="45">
        <f t="shared" si="63"/>
        <v>3135.13</v>
      </c>
      <c r="T383" s="64">
        <f t="shared" si="59"/>
        <v>3448.6430000000005</v>
      </c>
      <c r="U383" s="65"/>
      <c r="V383" s="65"/>
      <c r="W383" s="21">
        <f t="shared" si="62"/>
        <v>0</v>
      </c>
      <c r="X383" s="22">
        <f t="shared" si="60"/>
        <v>3135.13</v>
      </c>
      <c r="Y383" s="35">
        <f t="shared" si="61"/>
        <v>1</v>
      </c>
      <c r="Z383" s="20"/>
      <c r="AA383" s="11"/>
      <c r="AB383" s="20"/>
      <c r="AC383" s="74" t="s">
        <v>69</v>
      </c>
      <c r="AD383" s="10">
        <v>43332</v>
      </c>
      <c r="AE383" s="10">
        <v>43340</v>
      </c>
      <c r="AF383" s="63">
        <f>AE383-AD383</f>
        <v>8</v>
      </c>
      <c r="AG383" s="10">
        <v>43413</v>
      </c>
      <c r="AH383" s="25">
        <f t="shared" ref="AH383:AH399" si="66">AG383-AE383</f>
        <v>73</v>
      </c>
      <c r="AK383" s="27"/>
    </row>
    <row r="384" spans="1:37" s="26" customFormat="1" ht="14" customHeight="1" x14ac:dyDescent="0.45">
      <c r="A384" s="8" t="s">
        <v>34</v>
      </c>
      <c r="B384" s="8" t="s">
        <v>35</v>
      </c>
      <c r="C384" s="8" t="s">
        <v>36</v>
      </c>
      <c r="D384" s="9" t="s">
        <v>946</v>
      </c>
      <c r="E384" s="9">
        <v>43388</v>
      </c>
      <c r="F384" s="10">
        <v>43364</v>
      </c>
      <c r="G384" s="11">
        <v>43364</v>
      </c>
      <c r="H384" s="67"/>
      <c r="I384" s="68"/>
      <c r="J384" s="14">
        <f>G384+14</f>
        <v>43378</v>
      </c>
      <c r="K384" s="77">
        <v>43389</v>
      </c>
      <c r="L384" s="9"/>
      <c r="M384" s="10" t="str">
        <f t="shared" si="57"/>
        <v>Sep-18</v>
      </c>
      <c r="N384" s="10" t="str">
        <f t="shared" si="58"/>
        <v>Oct-18</v>
      </c>
      <c r="O384" s="17" t="s">
        <v>947</v>
      </c>
      <c r="P384" s="33" t="s">
        <v>81</v>
      </c>
      <c r="Q384" s="45">
        <v>5572.19</v>
      </c>
      <c r="R384" s="73"/>
      <c r="S384" s="45">
        <f t="shared" si="63"/>
        <v>5572.19</v>
      </c>
      <c r="T384" s="64">
        <f t="shared" si="59"/>
        <v>6129.4089999999997</v>
      </c>
      <c r="U384" s="65"/>
      <c r="V384" s="66">
        <v>1389.01008</v>
      </c>
      <c r="W384" s="21">
        <f t="shared" si="62"/>
        <v>1389.01008</v>
      </c>
      <c r="X384" s="22">
        <f t="shared" si="60"/>
        <v>4183.1799199999996</v>
      </c>
      <c r="Y384" s="35">
        <f t="shared" si="61"/>
        <v>0.75072456610417082</v>
      </c>
      <c r="Z384" s="20"/>
      <c r="AA384" s="11"/>
      <c r="AB384" s="20"/>
      <c r="AC384" s="74" t="s">
        <v>69</v>
      </c>
      <c r="AD384" s="10">
        <v>43336</v>
      </c>
      <c r="AE384" s="10">
        <v>43340</v>
      </c>
      <c r="AF384" s="63">
        <f>AE384-AD384</f>
        <v>4</v>
      </c>
      <c r="AG384" s="10">
        <v>43433</v>
      </c>
      <c r="AH384" s="25">
        <f t="shared" si="66"/>
        <v>93</v>
      </c>
      <c r="AK384" s="27"/>
    </row>
    <row r="385" spans="1:37" s="26" customFormat="1" ht="14" customHeight="1" x14ac:dyDescent="0.45">
      <c r="A385" s="8" t="s">
        <v>34</v>
      </c>
      <c r="B385" s="8" t="s">
        <v>129</v>
      </c>
      <c r="C385" s="8" t="s">
        <v>57</v>
      </c>
      <c r="D385" s="9" t="s">
        <v>948</v>
      </c>
      <c r="E385" s="9">
        <v>43489</v>
      </c>
      <c r="F385" s="10">
        <v>43454</v>
      </c>
      <c r="G385" s="11">
        <v>43454</v>
      </c>
      <c r="H385" s="77">
        <v>43454</v>
      </c>
      <c r="I385" s="85">
        <v>43474</v>
      </c>
      <c r="J385" s="15">
        <v>43476</v>
      </c>
      <c r="K385" s="15">
        <v>43494</v>
      </c>
      <c r="L385" s="9"/>
      <c r="M385" s="10" t="str">
        <f t="shared" si="57"/>
        <v>Dec-18</v>
      </c>
      <c r="N385" s="10" t="str">
        <f t="shared" si="58"/>
        <v>Jan-19</v>
      </c>
      <c r="O385" s="50" t="s">
        <v>949</v>
      </c>
      <c r="P385" s="50" t="s">
        <v>950</v>
      </c>
      <c r="Q385" s="45">
        <v>960</v>
      </c>
      <c r="R385" s="45">
        <v>6687.41</v>
      </c>
      <c r="S385" s="45">
        <f t="shared" si="63"/>
        <v>7647.41</v>
      </c>
      <c r="T385" s="64">
        <f t="shared" si="59"/>
        <v>8412.1509999999998</v>
      </c>
      <c r="U385" s="65"/>
      <c r="V385" s="65"/>
      <c r="W385" s="21">
        <f t="shared" si="62"/>
        <v>0</v>
      </c>
      <c r="X385" s="22">
        <f t="shared" si="60"/>
        <v>7647.41</v>
      </c>
      <c r="Y385" s="35">
        <f t="shared" si="61"/>
        <v>1</v>
      </c>
      <c r="Z385" s="20"/>
      <c r="AA385" s="11"/>
      <c r="AB385" s="20"/>
      <c r="AC385" s="74" t="s">
        <v>69</v>
      </c>
      <c r="AD385" s="10">
        <v>43339</v>
      </c>
      <c r="AE385" s="10">
        <v>43343</v>
      </c>
      <c r="AF385" s="63">
        <f>AE385-AD385</f>
        <v>4</v>
      </c>
      <c r="AG385" s="10">
        <v>43371</v>
      </c>
      <c r="AH385" s="37">
        <f t="shared" si="66"/>
        <v>28</v>
      </c>
      <c r="AK385" s="27"/>
    </row>
    <row r="386" spans="1:37" s="26" customFormat="1" ht="14" customHeight="1" x14ac:dyDescent="0.45">
      <c r="A386" s="8" t="s">
        <v>34</v>
      </c>
      <c r="B386" s="8" t="s">
        <v>35</v>
      </c>
      <c r="C386" s="8" t="s">
        <v>43</v>
      </c>
      <c r="D386" s="9" t="s">
        <v>951</v>
      </c>
      <c r="E386" s="9">
        <v>43439</v>
      </c>
      <c r="F386" s="10">
        <v>43411</v>
      </c>
      <c r="G386" s="11">
        <v>43413</v>
      </c>
      <c r="H386" s="14">
        <v>43423</v>
      </c>
      <c r="I386" s="54">
        <v>43432</v>
      </c>
      <c r="J386" s="14">
        <f>G386+14</f>
        <v>43427</v>
      </c>
      <c r="K386" s="14">
        <v>43440</v>
      </c>
      <c r="L386" s="9"/>
      <c r="M386" s="10" t="str">
        <f t="shared" ref="M386:M449" si="67">TEXT(G386,"mmm-yy")</f>
        <v>Nov-18</v>
      </c>
      <c r="N386" s="10" t="str">
        <f t="shared" ref="N386:N449" si="68">TEXT(K386,"mmm-yy")</f>
        <v>Dec-18</v>
      </c>
      <c r="O386" s="50" t="s">
        <v>952</v>
      </c>
      <c r="P386" s="50" t="s">
        <v>953</v>
      </c>
      <c r="Q386" s="45">
        <v>960</v>
      </c>
      <c r="R386" s="45">
        <v>3479.04</v>
      </c>
      <c r="S386" s="45">
        <f t="shared" si="63"/>
        <v>4439.04</v>
      </c>
      <c r="T386" s="64">
        <f t="shared" ref="T386:T449" si="69">S386*1.1</f>
        <v>4882.9440000000004</v>
      </c>
      <c r="U386" s="65"/>
      <c r="V386" s="65"/>
      <c r="W386" s="21">
        <f t="shared" si="62"/>
        <v>0</v>
      </c>
      <c r="X386" s="22">
        <f t="shared" ref="X386:X449" si="70">S386-W386</f>
        <v>4439.04</v>
      </c>
      <c r="Y386" s="35">
        <f t="shared" ref="Y386:Y449" si="71">X386/S386</f>
        <v>1</v>
      </c>
      <c r="Z386" s="20"/>
      <c r="AA386" s="11"/>
      <c r="AB386" s="20"/>
      <c r="AC386" s="74" t="s">
        <v>69</v>
      </c>
      <c r="AD386" s="10">
        <v>43336</v>
      </c>
      <c r="AE386" s="10">
        <v>43343</v>
      </c>
      <c r="AF386" s="48"/>
      <c r="AG386" s="10">
        <f>AD386+(12*7)</f>
        <v>43420</v>
      </c>
      <c r="AH386" s="37">
        <f t="shared" si="66"/>
        <v>77</v>
      </c>
      <c r="AK386" s="27"/>
    </row>
    <row r="387" spans="1:37" s="26" customFormat="1" ht="14" customHeight="1" x14ac:dyDescent="0.45">
      <c r="A387" s="28" t="s">
        <v>41</v>
      </c>
      <c r="B387" s="8" t="s">
        <v>739</v>
      </c>
      <c r="C387" s="28" t="s">
        <v>43</v>
      </c>
      <c r="D387" s="9"/>
      <c r="E387" s="9"/>
      <c r="F387" s="10"/>
      <c r="G387" s="10">
        <v>43554</v>
      </c>
      <c r="H387" s="51"/>
      <c r="I387" s="52"/>
      <c r="J387" s="51"/>
      <c r="K387" s="51"/>
      <c r="L387" s="9"/>
      <c r="M387" s="10" t="str">
        <f t="shared" si="67"/>
        <v>Mar-19</v>
      </c>
      <c r="N387" s="10" t="str">
        <f t="shared" si="68"/>
        <v>Jan-00</v>
      </c>
      <c r="O387" s="17" t="s">
        <v>954</v>
      </c>
      <c r="P387" s="33" t="s">
        <v>955</v>
      </c>
      <c r="Q387" s="45">
        <v>1601.74</v>
      </c>
      <c r="R387" s="45"/>
      <c r="S387" s="45">
        <f t="shared" si="63"/>
        <v>1601.74</v>
      </c>
      <c r="T387" s="64">
        <f t="shared" si="69"/>
        <v>1761.9140000000002</v>
      </c>
      <c r="U387" s="65"/>
      <c r="V387" s="65"/>
      <c r="W387" s="21">
        <f t="shared" si="62"/>
        <v>0</v>
      </c>
      <c r="X387" s="22">
        <f t="shared" si="70"/>
        <v>1601.74</v>
      </c>
      <c r="Y387" s="35">
        <f t="shared" si="71"/>
        <v>1</v>
      </c>
      <c r="Z387" s="20"/>
      <c r="AA387" s="11"/>
      <c r="AB387" s="20"/>
      <c r="AC387" s="24" t="s">
        <v>73</v>
      </c>
      <c r="AD387" s="10" t="s">
        <v>47</v>
      </c>
      <c r="AE387" s="10">
        <v>43340</v>
      </c>
      <c r="AF387" s="48"/>
      <c r="AG387" s="10">
        <v>43426</v>
      </c>
      <c r="AH387" s="25">
        <f t="shared" si="66"/>
        <v>86</v>
      </c>
      <c r="AK387" s="27"/>
    </row>
    <row r="388" spans="1:37" s="26" customFormat="1" ht="14" customHeight="1" x14ac:dyDescent="0.45">
      <c r="A388" s="28" t="s">
        <v>41</v>
      </c>
      <c r="B388" s="8" t="s">
        <v>373</v>
      </c>
      <c r="C388" s="28" t="s">
        <v>43</v>
      </c>
      <c r="D388" s="9"/>
      <c r="E388" s="9"/>
      <c r="F388" s="10"/>
      <c r="G388" s="10">
        <v>43554</v>
      </c>
      <c r="H388" s="51"/>
      <c r="I388" s="52"/>
      <c r="J388" s="51"/>
      <c r="K388" s="51"/>
      <c r="L388" s="9"/>
      <c r="M388" s="10" t="str">
        <f t="shared" si="67"/>
        <v>Mar-19</v>
      </c>
      <c r="N388" s="10" t="str">
        <f t="shared" si="68"/>
        <v>Jan-00</v>
      </c>
      <c r="O388" s="17" t="s">
        <v>956</v>
      </c>
      <c r="P388" s="33" t="s">
        <v>957</v>
      </c>
      <c r="Q388" s="45">
        <v>656.58</v>
      </c>
      <c r="R388" s="45"/>
      <c r="S388" s="45">
        <f t="shared" si="63"/>
        <v>656.58</v>
      </c>
      <c r="T388" s="64">
        <f t="shared" si="69"/>
        <v>722.23800000000006</v>
      </c>
      <c r="U388" s="65"/>
      <c r="V388" s="65"/>
      <c r="W388" s="21">
        <f t="shared" si="62"/>
        <v>0</v>
      </c>
      <c r="X388" s="22">
        <f t="shared" si="70"/>
        <v>656.58</v>
      </c>
      <c r="Y388" s="35">
        <f t="shared" si="71"/>
        <v>1</v>
      </c>
      <c r="Z388" s="20"/>
      <c r="AA388" s="11"/>
      <c r="AB388" s="20"/>
      <c r="AC388" s="24" t="s">
        <v>73</v>
      </c>
      <c r="AD388" s="10" t="s">
        <v>47</v>
      </c>
      <c r="AE388" s="10">
        <v>43341</v>
      </c>
      <c r="AF388" s="48"/>
      <c r="AG388" s="10">
        <v>43426</v>
      </c>
      <c r="AH388" s="25">
        <f t="shared" si="66"/>
        <v>85</v>
      </c>
      <c r="AK388" s="27"/>
    </row>
    <row r="389" spans="1:37" s="26" customFormat="1" ht="14" customHeight="1" x14ac:dyDescent="0.45">
      <c r="A389" s="8" t="s">
        <v>805</v>
      </c>
      <c r="B389" s="8" t="s">
        <v>297</v>
      </c>
      <c r="C389" s="8" t="s">
        <v>36</v>
      </c>
      <c r="D389" s="9" t="s">
        <v>958</v>
      </c>
      <c r="E389" s="9">
        <v>43530</v>
      </c>
      <c r="F389" s="10">
        <v>43510</v>
      </c>
      <c r="G389" s="10">
        <v>43510</v>
      </c>
      <c r="H389" s="10">
        <v>43510</v>
      </c>
      <c r="I389" s="54">
        <v>43521</v>
      </c>
      <c r="J389" s="14">
        <f>H389+14</f>
        <v>43524</v>
      </c>
      <c r="K389" s="14">
        <v>43531</v>
      </c>
      <c r="L389" s="9"/>
      <c r="M389" s="10" t="str">
        <f t="shared" si="67"/>
        <v>Feb-19</v>
      </c>
      <c r="N389" s="10" t="str">
        <f t="shared" si="68"/>
        <v>Mar-19</v>
      </c>
      <c r="O389" s="50" t="s">
        <v>959</v>
      </c>
      <c r="P389" s="50" t="s">
        <v>960</v>
      </c>
      <c r="Q389" s="45">
        <v>960</v>
      </c>
      <c r="R389" s="45">
        <v>8050.4400000000005</v>
      </c>
      <c r="S389" s="45">
        <f t="shared" si="63"/>
        <v>9010.44</v>
      </c>
      <c r="T389" s="64">
        <f t="shared" si="69"/>
        <v>9911.4840000000022</v>
      </c>
      <c r="U389" s="65">
        <v>1836.3500000000001</v>
      </c>
      <c r="V389" s="65"/>
      <c r="W389" s="21">
        <f t="shared" si="62"/>
        <v>1836.3500000000001</v>
      </c>
      <c r="X389" s="46">
        <f t="shared" si="70"/>
        <v>7174.09</v>
      </c>
      <c r="Y389" s="35">
        <f t="shared" si="71"/>
        <v>0.79619752198560778</v>
      </c>
      <c r="Z389" s="20"/>
      <c r="AA389" s="11"/>
      <c r="AB389" s="20"/>
      <c r="AC389" s="74" t="s">
        <v>69</v>
      </c>
      <c r="AD389" s="10">
        <v>43342</v>
      </c>
      <c r="AE389" s="10">
        <v>43347</v>
      </c>
      <c r="AF389" s="63">
        <f>AE389-AD389</f>
        <v>5</v>
      </c>
      <c r="AG389" s="10">
        <v>43406</v>
      </c>
      <c r="AH389" s="37">
        <f t="shared" si="66"/>
        <v>59</v>
      </c>
      <c r="AK389" s="27"/>
    </row>
    <row r="390" spans="1:37" s="26" customFormat="1" ht="14" customHeight="1" x14ac:dyDescent="0.45">
      <c r="A390" s="28" t="s">
        <v>41</v>
      </c>
      <c r="B390" s="8" t="s">
        <v>35</v>
      </c>
      <c r="C390" s="8" t="s">
        <v>36</v>
      </c>
      <c r="D390" s="9" t="s">
        <v>961</v>
      </c>
      <c r="E390" s="9">
        <v>43426</v>
      </c>
      <c r="F390" s="10">
        <v>43364</v>
      </c>
      <c r="G390" s="11">
        <v>43364</v>
      </c>
      <c r="H390" s="15">
        <v>43368</v>
      </c>
      <c r="I390" s="49">
        <v>43404</v>
      </c>
      <c r="J390" s="14">
        <f>G390+14</f>
        <v>43378</v>
      </c>
      <c r="K390" s="62">
        <v>43426</v>
      </c>
      <c r="L390" s="9"/>
      <c r="M390" s="10" t="str">
        <f t="shared" si="67"/>
        <v>Sep-18</v>
      </c>
      <c r="N390" s="10" t="str">
        <f t="shared" si="68"/>
        <v>Nov-18</v>
      </c>
      <c r="O390" s="16" t="s">
        <v>962</v>
      </c>
      <c r="P390" s="18" t="s">
        <v>486</v>
      </c>
      <c r="Q390" s="45">
        <v>2268.3000000000002</v>
      </c>
      <c r="R390" s="45">
        <v>17859.460000000003</v>
      </c>
      <c r="S390" s="45">
        <f t="shared" si="63"/>
        <v>20127.760000000002</v>
      </c>
      <c r="T390" s="64">
        <f t="shared" si="69"/>
        <v>22140.536000000004</v>
      </c>
      <c r="U390" s="65">
        <v>4513.41</v>
      </c>
      <c r="V390" s="89">
        <f>1643.58+1643.58+2290+2290+1440+546+300</f>
        <v>10153.16</v>
      </c>
      <c r="W390" s="21">
        <f t="shared" ref="W390:W453" si="72">SUM(U390:V390)</f>
        <v>14666.57</v>
      </c>
      <c r="X390" s="22">
        <f t="shared" si="70"/>
        <v>5461.1900000000023</v>
      </c>
      <c r="Y390" s="35">
        <f t="shared" si="71"/>
        <v>0.27132626780128549</v>
      </c>
      <c r="Z390" s="20"/>
      <c r="AA390" s="11"/>
      <c r="AB390" s="20"/>
      <c r="AC390" s="24" t="s">
        <v>69</v>
      </c>
      <c r="AD390" s="10" t="s">
        <v>47</v>
      </c>
      <c r="AE390" s="10">
        <v>43326</v>
      </c>
      <c r="AF390" s="63"/>
      <c r="AG390" s="10">
        <v>43414</v>
      </c>
      <c r="AH390" s="25">
        <f t="shared" si="66"/>
        <v>88</v>
      </c>
      <c r="AK390" s="27"/>
    </row>
    <row r="391" spans="1:37" s="26" customFormat="1" ht="14" customHeight="1" x14ac:dyDescent="0.45">
      <c r="A391" s="8" t="s">
        <v>34</v>
      </c>
      <c r="B391" s="8" t="s">
        <v>65</v>
      </c>
      <c r="C391" s="8" t="s">
        <v>57</v>
      </c>
      <c r="D391" s="9" t="s">
        <v>963</v>
      </c>
      <c r="E391" s="9">
        <v>43439</v>
      </c>
      <c r="F391" s="10">
        <v>43416</v>
      </c>
      <c r="G391" s="11">
        <v>43416</v>
      </c>
      <c r="H391" s="14">
        <v>43416</v>
      </c>
      <c r="I391" s="54">
        <v>43424</v>
      </c>
      <c r="J391" s="14">
        <f>G391+14</f>
        <v>43430</v>
      </c>
      <c r="K391" s="14">
        <v>43440</v>
      </c>
      <c r="L391" s="9"/>
      <c r="M391" s="10" t="str">
        <f t="shared" si="67"/>
        <v>Nov-18</v>
      </c>
      <c r="N391" s="10" t="str">
        <f t="shared" si="68"/>
        <v>Dec-18</v>
      </c>
      <c r="O391" s="17" t="s">
        <v>964</v>
      </c>
      <c r="P391" s="33" t="s">
        <v>699</v>
      </c>
      <c r="Q391" s="45">
        <v>10643.11</v>
      </c>
      <c r="R391" s="45">
        <v>2969.86</v>
      </c>
      <c r="S391" s="45">
        <f t="shared" si="63"/>
        <v>13612.970000000001</v>
      </c>
      <c r="T391" s="64">
        <f t="shared" si="69"/>
        <v>14974.267000000002</v>
      </c>
      <c r="U391" s="65">
        <v>3074.2200000000003</v>
      </c>
      <c r="V391" s="65"/>
      <c r="W391" s="21">
        <f t="shared" si="72"/>
        <v>3074.2200000000003</v>
      </c>
      <c r="X391" s="22">
        <f t="shared" si="70"/>
        <v>10538.75</v>
      </c>
      <c r="Y391" s="35">
        <f t="shared" si="71"/>
        <v>0.77416978073117027</v>
      </c>
      <c r="Z391" s="20"/>
      <c r="AA391" s="11"/>
      <c r="AB391" s="20"/>
      <c r="AC391" s="74" t="s">
        <v>69</v>
      </c>
      <c r="AD391" s="10">
        <v>43336</v>
      </c>
      <c r="AE391" s="10">
        <v>43342</v>
      </c>
      <c r="AF391" s="63">
        <f>AE391-AD391</f>
        <v>6</v>
      </c>
      <c r="AG391" s="10">
        <v>43416</v>
      </c>
      <c r="AH391" s="25">
        <f t="shared" si="66"/>
        <v>74</v>
      </c>
      <c r="AK391" s="27"/>
    </row>
    <row r="392" spans="1:37" s="26" customFormat="1" ht="14.25" customHeight="1" x14ac:dyDescent="0.45">
      <c r="A392" s="28" t="s">
        <v>41</v>
      </c>
      <c r="B392" s="8" t="s">
        <v>42</v>
      </c>
      <c r="C392" s="28" t="s">
        <v>43</v>
      </c>
      <c r="D392" s="9"/>
      <c r="E392" s="9"/>
      <c r="F392" s="10"/>
      <c r="G392" s="10">
        <v>43554</v>
      </c>
      <c r="H392" s="51"/>
      <c r="I392" s="52"/>
      <c r="J392" s="51"/>
      <c r="K392" s="51"/>
      <c r="L392" s="9"/>
      <c r="M392" s="10" t="str">
        <f t="shared" si="67"/>
        <v>Mar-19</v>
      </c>
      <c r="N392" s="10" t="str">
        <f t="shared" si="68"/>
        <v>Jan-00</v>
      </c>
      <c r="O392" s="17" t="s">
        <v>965</v>
      </c>
      <c r="P392" s="33" t="s">
        <v>265</v>
      </c>
      <c r="Q392" s="45">
        <v>5774.95</v>
      </c>
      <c r="R392" s="45"/>
      <c r="S392" s="45">
        <f t="shared" si="63"/>
        <v>5774.95</v>
      </c>
      <c r="T392" s="64">
        <f t="shared" si="69"/>
        <v>6352.4450000000006</v>
      </c>
      <c r="U392" s="65"/>
      <c r="V392" s="65"/>
      <c r="W392" s="21">
        <f t="shared" si="72"/>
        <v>0</v>
      </c>
      <c r="X392" s="22">
        <f t="shared" si="70"/>
        <v>5774.95</v>
      </c>
      <c r="Y392" s="35">
        <f t="shared" si="71"/>
        <v>1</v>
      </c>
      <c r="Z392" s="20"/>
      <c r="AA392" s="11"/>
      <c r="AB392" s="20"/>
      <c r="AC392" s="24" t="s">
        <v>73</v>
      </c>
      <c r="AD392" s="10" t="s">
        <v>47</v>
      </c>
      <c r="AE392" s="10">
        <v>43342</v>
      </c>
      <c r="AF392" s="48"/>
      <c r="AG392" s="10">
        <v>43426</v>
      </c>
      <c r="AH392" s="25">
        <f t="shared" si="66"/>
        <v>84</v>
      </c>
      <c r="AK392" s="27"/>
    </row>
    <row r="393" spans="1:37" s="26" customFormat="1" ht="14.25" customHeight="1" x14ac:dyDescent="0.45">
      <c r="A393" s="8" t="s">
        <v>34</v>
      </c>
      <c r="B393" s="8" t="s">
        <v>35</v>
      </c>
      <c r="C393" s="8" t="s">
        <v>36</v>
      </c>
      <c r="D393" s="9"/>
      <c r="E393" s="9"/>
      <c r="F393" s="10">
        <v>43490</v>
      </c>
      <c r="G393" s="11">
        <v>43490</v>
      </c>
      <c r="H393" s="51">
        <v>43505</v>
      </c>
      <c r="I393" s="52"/>
      <c r="J393" s="14">
        <f>G393+14</f>
        <v>43504</v>
      </c>
      <c r="K393" s="51">
        <f>I393+14</f>
        <v>14</v>
      </c>
      <c r="L393" s="9"/>
      <c r="M393" s="10" t="str">
        <f t="shared" si="67"/>
        <v>Jan-19</v>
      </c>
      <c r="N393" s="10" t="str">
        <f t="shared" si="68"/>
        <v>Jan-00</v>
      </c>
      <c r="O393" s="50" t="s">
        <v>966</v>
      </c>
      <c r="P393" s="50" t="s">
        <v>967</v>
      </c>
      <c r="Q393" s="45">
        <v>960</v>
      </c>
      <c r="R393" s="45">
        <v>4091.97</v>
      </c>
      <c r="S393" s="45">
        <f t="shared" ref="S393:S456" si="73">SUM(Q393:R393)</f>
        <v>5051.9699999999993</v>
      </c>
      <c r="T393" s="64">
        <f t="shared" si="69"/>
        <v>5557.1669999999995</v>
      </c>
      <c r="U393" s="65">
        <v>975.27</v>
      </c>
      <c r="V393" s="65"/>
      <c r="W393" s="21">
        <f t="shared" si="72"/>
        <v>975.27</v>
      </c>
      <c r="X393" s="22">
        <f t="shared" si="70"/>
        <v>4076.6999999999994</v>
      </c>
      <c r="Y393" s="35">
        <f t="shared" si="71"/>
        <v>0.80695253534759703</v>
      </c>
      <c r="Z393" s="20"/>
      <c r="AA393" s="11"/>
      <c r="AB393" s="20"/>
      <c r="AC393" s="74" t="s">
        <v>69</v>
      </c>
      <c r="AD393" s="10">
        <v>43336</v>
      </c>
      <c r="AE393" s="10">
        <v>43343</v>
      </c>
      <c r="AF393" s="63">
        <f>AE393-AD393</f>
        <v>7</v>
      </c>
      <c r="AG393" s="10">
        <v>43403</v>
      </c>
      <c r="AH393" s="25">
        <f t="shared" si="66"/>
        <v>60</v>
      </c>
      <c r="AK393" s="27"/>
    </row>
    <row r="394" spans="1:37" s="26" customFormat="1" ht="14.25" customHeight="1" x14ac:dyDescent="0.45">
      <c r="A394" s="28" t="s">
        <v>41</v>
      </c>
      <c r="B394" s="8" t="s">
        <v>35</v>
      </c>
      <c r="C394" s="8" t="s">
        <v>36</v>
      </c>
      <c r="D394" s="9" t="s">
        <v>968</v>
      </c>
      <c r="E394" s="9">
        <v>43433</v>
      </c>
      <c r="F394" s="10">
        <v>43384</v>
      </c>
      <c r="G394" s="10">
        <v>43385</v>
      </c>
      <c r="H394" s="15">
        <v>43389</v>
      </c>
      <c r="I394" s="49">
        <v>43418</v>
      </c>
      <c r="J394" s="14">
        <f>G394+14</f>
        <v>43399</v>
      </c>
      <c r="K394" s="77">
        <v>43433</v>
      </c>
      <c r="L394" s="9"/>
      <c r="M394" s="10" t="str">
        <f t="shared" si="67"/>
        <v>Oct-18</v>
      </c>
      <c r="N394" s="10" t="str">
        <f t="shared" si="68"/>
        <v>Nov-18</v>
      </c>
      <c r="O394" s="17" t="s">
        <v>969</v>
      </c>
      <c r="P394" s="18" t="s">
        <v>168</v>
      </c>
      <c r="Q394" s="45">
        <v>972.94</v>
      </c>
      <c r="R394" s="45">
        <v>6718.14</v>
      </c>
      <c r="S394" s="45">
        <f t="shared" si="73"/>
        <v>7691.08</v>
      </c>
      <c r="T394" s="64">
        <f t="shared" si="69"/>
        <v>8460.1880000000001</v>
      </c>
      <c r="U394" s="65">
        <v>1298.9100000000001</v>
      </c>
      <c r="V394" s="65"/>
      <c r="W394" s="21">
        <f t="shared" si="72"/>
        <v>1298.9100000000001</v>
      </c>
      <c r="X394" s="22">
        <f t="shared" si="70"/>
        <v>6392.17</v>
      </c>
      <c r="Y394" s="35">
        <f t="shared" si="71"/>
        <v>0.83111474591344781</v>
      </c>
      <c r="Z394" s="20"/>
      <c r="AA394" s="11"/>
      <c r="AB394" s="20"/>
      <c r="AC394" s="24" t="s">
        <v>73</v>
      </c>
      <c r="AD394" s="10" t="s">
        <v>47</v>
      </c>
      <c r="AE394" s="10">
        <v>43339</v>
      </c>
      <c r="AF394" s="48"/>
      <c r="AG394" s="10">
        <v>43426</v>
      </c>
      <c r="AH394" s="25">
        <f t="shared" si="66"/>
        <v>87</v>
      </c>
      <c r="AK394" s="27"/>
    </row>
    <row r="395" spans="1:37" s="26" customFormat="1" ht="14.25" customHeight="1" x14ac:dyDescent="0.45">
      <c r="A395" s="28" t="s">
        <v>41</v>
      </c>
      <c r="B395" s="8" t="s">
        <v>35</v>
      </c>
      <c r="C395" s="8" t="s">
        <v>43</v>
      </c>
      <c r="D395" s="9"/>
      <c r="E395" s="9"/>
      <c r="F395" s="10">
        <v>43488</v>
      </c>
      <c r="G395" s="10">
        <v>43488</v>
      </c>
      <c r="H395" s="15">
        <v>43488</v>
      </c>
      <c r="I395" s="49">
        <v>43542</v>
      </c>
      <c r="J395" s="14">
        <f>G395+14</f>
        <v>43502</v>
      </c>
      <c r="K395" s="15">
        <v>43554</v>
      </c>
      <c r="L395" s="9"/>
      <c r="M395" s="10" t="str">
        <f t="shared" si="67"/>
        <v>Jan-19</v>
      </c>
      <c r="N395" s="10" t="str">
        <f t="shared" si="68"/>
        <v>Mar-19</v>
      </c>
      <c r="O395" s="17" t="s">
        <v>970</v>
      </c>
      <c r="P395" s="33" t="s">
        <v>370</v>
      </c>
      <c r="Q395" s="45">
        <v>1513.96</v>
      </c>
      <c r="R395" s="45">
        <v>5411.69</v>
      </c>
      <c r="S395" s="45">
        <f t="shared" si="73"/>
        <v>6925.65</v>
      </c>
      <c r="T395" s="64">
        <f t="shared" si="69"/>
        <v>7618.2150000000001</v>
      </c>
      <c r="U395" s="65"/>
      <c r="V395" s="65"/>
      <c r="W395" s="21">
        <f t="shared" si="72"/>
        <v>0</v>
      </c>
      <c r="X395" s="22">
        <f t="shared" si="70"/>
        <v>6925.65</v>
      </c>
      <c r="Y395" s="35">
        <f t="shared" si="71"/>
        <v>1</v>
      </c>
      <c r="Z395" s="20"/>
      <c r="AA395" s="11"/>
      <c r="AB395" s="20"/>
      <c r="AC395" s="24" t="s">
        <v>73</v>
      </c>
      <c r="AD395" s="10" t="s">
        <v>47</v>
      </c>
      <c r="AE395" s="10">
        <v>43347</v>
      </c>
      <c r="AF395" s="48"/>
      <c r="AG395" s="10">
        <v>43404</v>
      </c>
      <c r="AH395" s="25">
        <f t="shared" si="66"/>
        <v>57</v>
      </c>
      <c r="AK395" s="27"/>
    </row>
    <row r="396" spans="1:37" s="26" customFormat="1" ht="14.25" customHeight="1" x14ac:dyDescent="0.45">
      <c r="A396" s="8" t="s">
        <v>805</v>
      </c>
      <c r="B396" s="8" t="s">
        <v>65</v>
      </c>
      <c r="C396" s="8" t="s">
        <v>36</v>
      </c>
      <c r="D396" s="9"/>
      <c r="E396" s="9"/>
      <c r="F396" s="10">
        <v>43522</v>
      </c>
      <c r="G396" s="10">
        <v>43522</v>
      </c>
      <c r="H396" s="10">
        <v>43529</v>
      </c>
      <c r="I396" s="52"/>
      <c r="J396" s="14">
        <f>G396+14</f>
        <v>43536</v>
      </c>
      <c r="K396" s="51">
        <f>J396+14</f>
        <v>43550</v>
      </c>
      <c r="L396" s="9"/>
      <c r="M396" s="10" t="str">
        <f t="shared" si="67"/>
        <v>Feb-19</v>
      </c>
      <c r="N396" s="10" t="str">
        <f t="shared" si="68"/>
        <v>Mar-19</v>
      </c>
      <c r="O396" s="50" t="s">
        <v>971</v>
      </c>
      <c r="P396" s="50" t="s">
        <v>972</v>
      </c>
      <c r="Q396" s="45">
        <v>960</v>
      </c>
      <c r="R396" s="45">
        <v>24580.357</v>
      </c>
      <c r="S396" s="45">
        <f t="shared" si="73"/>
        <v>25540.357</v>
      </c>
      <c r="T396" s="64">
        <f t="shared" si="69"/>
        <v>28094.392700000004</v>
      </c>
      <c r="U396" s="65">
        <v>15299.87</v>
      </c>
      <c r="V396" s="65"/>
      <c r="W396" s="21">
        <f t="shared" si="72"/>
        <v>15299.87</v>
      </c>
      <c r="X396" s="79">
        <f t="shared" si="70"/>
        <v>10240.486999999999</v>
      </c>
      <c r="Y396" s="80">
        <f t="shared" si="71"/>
        <v>0.40095316600312203</v>
      </c>
      <c r="Z396" s="20"/>
      <c r="AA396" s="11"/>
      <c r="AB396" s="20"/>
      <c r="AC396" s="74" t="s">
        <v>69</v>
      </c>
      <c r="AD396" s="10">
        <v>43346</v>
      </c>
      <c r="AE396" s="10">
        <v>43348</v>
      </c>
      <c r="AF396" s="63">
        <f>AE396-AD396</f>
        <v>2</v>
      </c>
      <c r="AG396" s="10">
        <v>43351</v>
      </c>
      <c r="AH396" s="25">
        <f t="shared" si="66"/>
        <v>3</v>
      </c>
      <c r="AK396" s="27"/>
    </row>
    <row r="397" spans="1:37" s="26" customFormat="1" ht="14.25" customHeight="1" x14ac:dyDescent="0.45">
      <c r="A397" s="28" t="s">
        <v>41</v>
      </c>
      <c r="B397" s="8" t="s">
        <v>42</v>
      </c>
      <c r="C397" s="28" t="s">
        <v>43</v>
      </c>
      <c r="D397" s="9"/>
      <c r="E397" s="9"/>
      <c r="F397" s="10"/>
      <c r="G397" s="11">
        <v>43554</v>
      </c>
      <c r="H397" s="51"/>
      <c r="I397" s="52"/>
      <c r="J397" s="51"/>
      <c r="K397" s="51"/>
      <c r="L397" s="9"/>
      <c r="M397" s="10" t="str">
        <f t="shared" si="67"/>
        <v>Mar-19</v>
      </c>
      <c r="N397" s="10" t="str">
        <f t="shared" si="68"/>
        <v>Jan-00</v>
      </c>
      <c r="O397" s="17" t="s">
        <v>973</v>
      </c>
      <c r="P397" s="33" t="s">
        <v>265</v>
      </c>
      <c r="Q397" s="45">
        <v>4568.74</v>
      </c>
      <c r="R397" s="45"/>
      <c r="S397" s="45">
        <f t="shared" si="73"/>
        <v>4568.74</v>
      </c>
      <c r="T397" s="64">
        <f t="shared" si="69"/>
        <v>5025.6140000000005</v>
      </c>
      <c r="U397" s="65">
        <v>800</v>
      </c>
      <c r="V397" s="65"/>
      <c r="W397" s="21">
        <f t="shared" si="72"/>
        <v>800</v>
      </c>
      <c r="X397" s="22">
        <f t="shared" si="70"/>
        <v>3768.74</v>
      </c>
      <c r="Y397" s="35">
        <f t="shared" si="71"/>
        <v>0.82489701755845157</v>
      </c>
      <c r="Z397" s="20"/>
      <c r="AA397" s="11"/>
      <c r="AB397" s="20"/>
      <c r="AC397" s="24" t="s">
        <v>73</v>
      </c>
      <c r="AD397" s="10" t="s">
        <v>47</v>
      </c>
      <c r="AE397" s="10">
        <v>43349</v>
      </c>
      <c r="AF397" s="48"/>
      <c r="AG397" s="10">
        <v>43404</v>
      </c>
      <c r="AH397" s="25">
        <f t="shared" si="66"/>
        <v>55</v>
      </c>
      <c r="AK397" s="27"/>
    </row>
    <row r="398" spans="1:37" s="26" customFormat="1" ht="14.25" customHeight="1" x14ac:dyDescent="0.45">
      <c r="A398" s="28" t="s">
        <v>41</v>
      </c>
      <c r="B398" s="8" t="s">
        <v>56</v>
      </c>
      <c r="C398" s="8" t="s">
        <v>57</v>
      </c>
      <c r="D398" s="9"/>
      <c r="E398" s="9"/>
      <c r="F398" s="10">
        <v>43518</v>
      </c>
      <c r="G398" s="10">
        <v>43518</v>
      </c>
      <c r="H398" s="10">
        <v>43518</v>
      </c>
      <c r="I398" s="52"/>
      <c r="J398" s="14">
        <f>G398+14</f>
        <v>43532</v>
      </c>
      <c r="K398" s="51">
        <f>J398+14</f>
        <v>43546</v>
      </c>
      <c r="L398" s="9"/>
      <c r="M398" s="10" t="str">
        <f t="shared" si="67"/>
        <v>Feb-19</v>
      </c>
      <c r="N398" s="10" t="str">
        <f t="shared" si="68"/>
        <v>Mar-19</v>
      </c>
      <c r="O398" s="17" t="s">
        <v>974</v>
      </c>
      <c r="P398" s="33" t="s">
        <v>168</v>
      </c>
      <c r="Q398" s="45">
        <v>1713.6</v>
      </c>
      <c r="R398" s="45">
        <v>813</v>
      </c>
      <c r="S398" s="45">
        <f t="shared" si="73"/>
        <v>2526.6</v>
      </c>
      <c r="T398" s="64">
        <f t="shared" si="69"/>
        <v>2779.26</v>
      </c>
      <c r="U398" s="65"/>
      <c r="V398" s="65"/>
      <c r="W398" s="21">
        <f t="shared" si="72"/>
        <v>0</v>
      </c>
      <c r="X398" s="22">
        <f t="shared" si="70"/>
        <v>2526.6</v>
      </c>
      <c r="Y398" s="35">
        <f t="shared" si="71"/>
        <v>1</v>
      </c>
      <c r="Z398" s="20"/>
      <c r="AA398" s="11"/>
      <c r="AB398" s="20"/>
      <c r="AC398" s="24" t="s">
        <v>73</v>
      </c>
      <c r="AD398" s="10" t="s">
        <v>47</v>
      </c>
      <c r="AE398" s="10">
        <v>43348</v>
      </c>
      <c r="AF398" s="48"/>
      <c r="AG398" s="10">
        <v>43372</v>
      </c>
      <c r="AH398" s="25">
        <f t="shared" si="66"/>
        <v>24</v>
      </c>
      <c r="AK398" s="27"/>
    </row>
    <row r="399" spans="1:37" s="26" customFormat="1" ht="14.25" customHeight="1" x14ac:dyDescent="0.45">
      <c r="A399" s="28" t="s">
        <v>41</v>
      </c>
      <c r="B399" s="8" t="s">
        <v>35</v>
      </c>
      <c r="C399" s="8" t="s">
        <v>36</v>
      </c>
      <c r="D399" s="9" t="s">
        <v>975</v>
      </c>
      <c r="E399" s="9">
        <v>43427</v>
      </c>
      <c r="F399" s="10">
        <v>43377</v>
      </c>
      <c r="G399" s="11">
        <v>43377</v>
      </c>
      <c r="H399" s="15">
        <v>43381</v>
      </c>
      <c r="I399" s="49">
        <v>43417</v>
      </c>
      <c r="J399" s="14">
        <f>G399+14</f>
        <v>43391</v>
      </c>
      <c r="K399" s="14">
        <f>I399+14</f>
        <v>43431</v>
      </c>
      <c r="L399" s="9"/>
      <c r="M399" s="10" t="str">
        <f t="shared" si="67"/>
        <v>Oct-18</v>
      </c>
      <c r="N399" s="10" t="str">
        <f t="shared" si="68"/>
        <v>Nov-18</v>
      </c>
      <c r="O399" s="17" t="s">
        <v>976</v>
      </c>
      <c r="P399" s="33" t="s">
        <v>366</v>
      </c>
      <c r="Q399" s="45">
        <v>1333.44</v>
      </c>
      <c r="R399" s="45">
        <v>2606.44</v>
      </c>
      <c r="S399" s="45">
        <f t="shared" si="73"/>
        <v>3939.88</v>
      </c>
      <c r="T399" s="64">
        <f t="shared" si="69"/>
        <v>4333.8680000000004</v>
      </c>
      <c r="U399" s="65">
        <v>1787.25</v>
      </c>
      <c r="V399" s="65"/>
      <c r="W399" s="21">
        <f t="shared" si="72"/>
        <v>1787.25</v>
      </c>
      <c r="X399" s="22">
        <f t="shared" si="70"/>
        <v>2152.63</v>
      </c>
      <c r="Y399" s="35">
        <f t="shared" si="71"/>
        <v>0.54636943257155046</v>
      </c>
      <c r="Z399" s="20"/>
      <c r="AA399" s="11"/>
      <c r="AB399" s="20"/>
      <c r="AC399" s="24" t="s">
        <v>73</v>
      </c>
      <c r="AD399" s="10" t="s">
        <v>47</v>
      </c>
      <c r="AE399" s="10">
        <v>43342</v>
      </c>
      <c r="AF399" s="48"/>
      <c r="AG399" s="10">
        <v>43432</v>
      </c>
      <c r="AH399" s="25">
        <f t="shared" si="66"/>
        <v>90</v>
      </c>
      <c r="AK399" s="27"/>
    </row>
    <row r="400" spans="1:37" s="26" customFormat="1" ht="14.25" customHeight="1" x14ac:dyDescent="0.45">
      <c r="A400" s="28" t="s">
        <v>802</v>
      </c>
      <c r="B400" s="8" t="s">
        <v>65</v>
      </c>
      <c r="C400" s="8" t="s">
        <v>36</v>
      </c>
      <c r="D400" s="9" t="s">
        <v>977</v>
      </c>
      <c r="E400" s="9">
        <v>43469</v>
      </c>
      <c r="F400" s="10">
        <v>43430</v>
      </c>
      <c r="G400" s="11">
        <v>43430</v>
      </c>
      <c r="H400" s="14">
        <v>43434</v>
      </c>
      <c r="I400" s="54">
        <v>43444</v>
      </c>
      <c r="J400" s="77">
        <v>43445</v>
      </c>
      <c r="K400" s="15">
        <v>43473</v>
      </c>
      <c r="L400" s="9"/>
      <c r="M400" s="10" t="str">
        <f t="shared" si="67"/>
        <v>Nov-18</v>
      </c>
      <c r="N400" s="10" t="str">
        <f t="shared" si="68"/>
        <v>Jan-19</v>
      </c>
      <c r="O400" s="130" t="s">
        <v>978</v>
      </c>
      <c r="P400" s="131" t="s">
        <v>979</v>
      </c>
      <c r="Q400" s="45">
        <v>16366.01</v>
      </c>
      <c r="R400" s="45">
        <v>8634.7800000000007</v>
      </c>
      <c r="S400" s="45">
        <f t="shared" si="73"/>
        <v>25000.79</v>
      </c>
      <c r="T400" s="64">
        <f t="shared" si="69"/>
        <v>27500.869000000002</v>
      </c>
      <c r="U400" s="65">
        <v>6990.56</v>
      </c>
      <c r="V400" s="65"/>
      <c r="W400" s="21">
        <f t="shared" si="72"/>
        <v>6990.56</v>
      </c>
      <c r="X400" s="22">
        <f t="shared" si="70"/>
        <v>18010.23</v>
      </c>
      <c r="Y400" s="35">
        <f t="shared" si="71"/>
        <v>0.72038643578862904</v>
      </c>
      <c r="Z400" s="20"/>
      <c r="AA400" s="11"/>
      <c r="AB400" s="20"/>
      <c r="AC400" s="24" t="s">
        <v>128</v>
      </c>
      <c r="AD400" s="10">
        <v>43348</v>
      </c>
      <c r="AE400" s="10"/>
      <c r="AF400" s="48"/>
      <c r="AG400" s="10"/>
      <c r="AH400" s="25"/>
      <c r="AK400" s="27"/>
    </row>
    <row r="401" spans="1:37" s="26" customFormat="1" ht="14.25" customHeight="1" x14ac:dyDescent="0.45">
      <c r="A401" s="28" t="s">
        <v>980</v>
      </c>
      <c r="B401" s="8" t="s">
        <v>42</v>
      </c>
      <c r="C401" s="8" t="s">
        <v>36</v>
      </c>
      <c r="D401" s="9"/>
      <c r="E401" s="9"/>
      <c r="F401" s="10"/>
      <c r="G401" s="11">
        <v>43554</v>
      </c>
      <c r="H401" s="51"/>
      <c r="I401" s="52"/>
      <c r="J401" s="51"/>
      <c r="K401" s="51"/>
      <c r="L401" s="9"/>
      <c r="M401" s="10" t="str">
        <f t="shared" si="67"/>
        <v>Mar-19</v>
      </c>
      <c r="N401" s="10" t="str">
        <f t="shared" si="68"/>
        <v>Jan-00</v>
      </c>
      <c r="O401" s="130" t="s">
        <v>981</v>
      </c>
      <c r="P401" s="131" t="s">
        <v>982</v>
      </c>
      <c r="Q401" s="45">
        <v>5810.57</v>
      </c>
      <c r="R401" s="45"/>
      <c r="S401" s="45">
        <f t="shared" si="73"/>
        <v>5810.57</v>
      </c>
      <c r="T401" s="64">
        <f t="shared" si="69"/>
        <v>6391.6270000000004</v>
      </c>
      <c r="U401" s="65"/>
      <c r="V401" s="65"/>
      <c r="W401" s="21">
        <f t="shared" si="72"/>
        <v>0</v>
      </c>
      <c r="X401" s="22">
        <f t="shared" si="70"/>
        <v>5810.57</v>
      </c>
      <c r="Y401" s="35">
        <f t="shared" si="71"/>
        <v>1</v>
      </c>
      <c r="Z401" s="20"/>
      <c r="AA401" s="11"/>
      <c r="AB401" s="20"/>
      <c r="AC401" s="24" t="s">
        <v>983</v>
      </c>
      <c r="AD401" s="10">
        <v>43367</v>
      </c>
      <c r="AE401" s="10">
        <v>43397</v>
      </c>
      <c r="AF401" s="63">
        <f>AE401-AD401</f>
        <v>30</v>
      </c>
      <c r="AG401" s="10">
        <v>43419</v>
      </c>
      <c r="AH401" s="25">
        <f>AG401-AE401</f>
        <v>22</v>
      </c>
      <c r="AK401" s="27"/>
    </row>
    <row r="402" spans="1:37" s="26" customFormat="1" ht="14.25" customHeight="1" x14ac:dyDescent="0.45">
      <c r="A402" s="28" t="s">
        <v>802</v>
      </c>
      <c r="B402" s="8" t="s">
        <v>35</v>
      </c>
      <c r="C402" s="8" t="s">
        <v>36</v>
      </c>
      <c r="D402" s="9" t="s">
        <v>984</v>
      </c>
      <c r="E402" s="9">
        <v>43523</v>
      </c>
      <c r="F402" s="10">
        <v>43475</v>
      </c>
      <c r="G402" s="10">
        <v>43475</v>
      </c>
      <c r="H402" s="55">
        <v>43475</v>
      </c>
      <c r="I402" s="54">
        <v>43482</v>
      </c>
      <c r="J402" s="15">
        <v>43500</v>
      </c>
      <c r="K402" s="51">
        <v>43522</v>
      </c>
      <c r="L402" s="9"/>
      <c r="M402" s="10" t="str">
        <f t="shared" si="67"/>
        <v>Jan-19</v>
      </c>
      <c r="N402" s="10" t="str">
        <f t="shared" si="68"/>
        <v>Feb-19</v>
      </c>
      <c r="O402" s="130" t="s">
        <v>985</v>
      </c>
      <c r="P402" s="131" t="s">
        <v>982</v>
      </c>
      <c r="Q402" s="45">
        <v>8293.08</v>
      </c>
      <c r="R402" s="45">
        <v>18946.46</v>
      </c>
      <c r="S402" s="45">
        <f t="shared" si="73"/>
        <v>27239.54</v>
      </c>
      <c r="T402" s="64">
        <f t="shared" si="69"/>
        <v>29963.494000000002</v>
      </c>
      <c r="U402" s="65">
        <v>1348.5700000000002</v>
      </c>
      <c r="V402" s="65"/>
      <c r="W402" s="21">
        <f t="shared" si="72"/>
        <v>1348.5700000000002</v>
      </c>
      <c r="X402" s="22">
        <f t="shared" si="70"/>
        <v>25890.97</v>
      </c>
      <c r="Y402" s="35">
        <f t="shared" si="71"/>
        <v>0.95049218892830056</v>
      </c>
      <c r="Z402" s="20"/>
      <c r="AA402" s="11"/>
      <c r="AB402" s="20"/>
      <c r="AC402" s="24" t="s">
        <v>983</v>
      </c>
      <c r="AD402" s="10">
        <v>43367</v>
      </c>
      <c r="AE402" s="10">
        <v>43397</v>
      </c>
      <c r="AF402" s="63">
        <f>AE402-AD402</f>
        <v>30</v>
      </c>
      <c r="AG402" s="10">
        <v>43419</v>
      </c>
      <c r="AH402" s="25">
        <f>AG402-AE402</f>
        <v>22</v>
      </c>
      <c r="AK402" s="27"/>
    </row>
    <row r="403" spans="1:37" s="26" customFormat="1" ht="14.25" customHeight="1" x14ac:dyDescent="0.45">
      <c r="A403" s="28" t="s">
        <v>802</v>
      </c>
      <c r="B403" s="8" t="s">
        <v>35</v>
      </c>
      <c r="C403" s="8" t="s">
        <v>36</v>
      </c>
      <c r="D403" s="9" t="s">
        <v>986</v>
      </c>
      <c r="E403" s="9">
        <v>43439</v>
      </c>
      <c r="F403" s="10">
        <v>43402</v>
      </c>
      <c r="G403" s="11">
        <v>43409</v>
      </c>
      <c r="H403" s="14">
        <v>43415</v>
      </c>
      <c r="I403" s="54">
        <v>43423</v>
      </c>
      <c r="J403" s="15">
        <v>43427</v>
      </c>
      <c r="K403" s="14">
        <v>43438</v>
      </c>
      <c r="L403" s="9"/>
      <c r="M403" s="10" t="str">
        <f t="shared" si="67"/>
        <v>Nov-18</v>
      </c>
      <c r="N403" s="10" t="str">
        <f t="shared" si="68"/>
        <v>Dec-18</v>
      </c>
      <c r="O403" s="134" t="s">
        <v>987</v>
      </c>
      <c r="P403" s="135" t="s">
        <v>54</v>
      </c>
      <c r="Q403" s="45">
        <v>19198.900000000001</v>
      </c>
      <c r="R403" s="45">
        <v>1293.94</v>
      </c>
      <c r="S403" s="45">
        <f t="shared" si="73"/>
        <v>20492.84</v>
      </c>
      <c r="T403" s="64">
        <f t="shared" si="69"/>
        <v>22542.124000000003</v>
      </c>
      <c r="U403" s="65">
        <v>7903.2479999999987</v>
      </c>
      <c r="V403" s="65"/>
      <c r="W403" s="21">
        <f t="shared" si="72"/>
        <v>7903.2479999999987</v>
      </c>
      <c r="X403" s="22">
        <f t="shared" si="70"/>
        <v>12589.592000000001</v>
      </c>
      <c r="Y403" s="35">
        <f t="shared" si="71"/>
        <v>0.61434100885967979</v>
      </c>
      <c r="Z403" s="20"/>
      <c r="AA403" s="11"/>
      <c r="AB403" s="20"/>
      <c r="AC403" s="24" t="s">
        <v>128</v>
      </c>
      <c r="AD403" s="136" t="s">
        <v>47</v>
      </c>
      <c r="AE403" s="136"/>
      <c r="AF403" s="137"/>
      <c r="AG403" s="136"/>
      <c r="AH403" s="138"/>
      <c r="AK403" s="27"/>
    </row>
    <row r="404" spans="1:37" s="26" customFormat="1" ht="14.25" customHeight="1" x14ac:dyDescent="0.45">
      <c r="A404" s="28" t="s">
        <v>802</v>
      </c>
      <c r="B404" s="8" t="s">
        <v>35</v>
      </c>
      <c r="C404" s="8" t="s">
        <v>36</v>
      </c>
      <c r="D404" s="9" t="s">
        <v>988</v>
      </c>
      <c r="E404" s="9">
        <v>43454</v>
      </c>
      <c r="F404" s="10">
        <v>43411</v>
      </c>
      <c r="G404" s="11">
        <v>43411</v>
      </c>
      <c r="H404" s="14">
        <v>43413</v>
      </c>
      <c r="I404" s="54">
        <v>43423</v>
      </c>
      <c r="J404" s="15">
        <v>43438</v>
      </c>
      <c r="K404" s="14">
        <f>J404+14</f>
        <v>43452</v>
      </c>
      <c r="L404" s="9"/>
      <c r="M404" s="10" t="str">
        <f t="shared" si="67"/>
        <v>Nov-18</v>
      </c>
      <c r="N404" s="10" t="str">
        <f t="shared" si="68"/>
        <v>Dec-18</v>
      </c>
      <c r="O404" s="134" t="s">
        <v>989</v>
      </c>
      <c r="P404" s="135" t="s">
        <v>54</v>
      </c>
      <c r="Q404" s="45">
        <v>5960.27</v>
      </c>
      <c r="R404" s="45">
        <v>5746.39</v>
      </c>
      <c r="S404" s="45">
        <f t="shared" si="73"/>
        <v>11706.66</v>
      </c>
      <c r="T404" s="64">
        <f t="shared" si="69"/>
        <v>12877.326000000001</v>
      </c>
      <c r="U404" s="65">
        <v>5106.1380000000008</v>
      </c>
      <c r="V404" s="65"/>
      <c r="W404" s="21">
        <f t="shared" si="72"/>
        <v>5106.1380000000008</v>
      </c>
      <c r="X404" s="22">
        <f t="shared" si="70"/>
        <v>6600.521999999999</v>
      </c>
      <c r="Y404" s="35">
        <f t="shared" si="71"/>
        <v>0.56382623224728479</v>
      </c>
      <c r="Z404" s="20"/>
      <c r="AA404" s="11"/>
      <c r="AB404" s="20"/>
      <c r="AC404" s="24" t="s">
        <v>128</v>
      </c>
      <c r="AD404" s="136" t="s">
        <v>47</v>
      </c>
      <c r="AE404" s="136"/>
      <c r="AF404" s="137"/>
      <c r="AG404" s="136"/>
      <c r="AH404" s="138"/>
      <c r="AK404" s="27"/>
    </row>
    <row r="405" spans="1:37" s="26" customFormat="1" ht="14.25" customHeight="1" x14ac:dyDescent="0.45">
      <c r="A405" s="28" t="s">
        <v>802</v>
      </c>
      <c r="B405" s="8" t="s">
        <v>35</v>
      </c>
      <c r="C405" s="8" t="s">
        <v>36</v>
      </c>
      <c r="D405" s="9" t="s">
        <v>990</v>
      </c>
      <c r="E405" s="9">
        <v>43439</v>
      </c>
      <c r="F405" s="10">
        <v>43409</v>
      </c>
      <c r="G405" s="11">
        <v>43409</v>
      </c>
      <c r="H405" s="14">
        <v>43416</v>
      </c>
      <c r="I405" s="54">
        <v>43423</v>
      </c>
      <c r="J405" s="15">
        <v>43425</v>
      </c>
      <c r="K405" s="14">
        <v>43438</v>
      </c>
      <c r="L405" s="9"/>
      <c r="M405" s="10" t="str">
        <f t="shared" si="67"/>
        <v>Nov-18</v>
      </c>
      <c r="N405" s="10" t="str">
        <f t="shared" si="68"/>
        <v>Dec-18</v>
      </c>
      <c r="O405" s="134" t="s">
        <v>991</v>
      </c>
      <c r="P405" s="135" t="s">
        <v>235</v>
      </c>
      <c r="Q405" s="45">
        <v>2914.87</v>
      </c>
      <c r="R405" s="45">
        <v>11413.77</v>
      </c>
      <c r="S405" s="45">
        <f t="shared" si="73"/>
        <v>14328.64</v>
      </c>
      <c r="T405" s="64">
        <f t="shared" si="69"/>
        <v>15761.504000000001</v>
      </c>
      <c r="U405" s="65">
        <v>5927.9000000000005</v>
      </c>
      <c r="V405" s="65"/>
      <c r="W405" s="21">
        <f t="shared" si="72"/>
        <v>5927.9000000000005</v>
      </c>
      <c r="X405" s="22">
        <f t="shared" si="70"/>
        <v>8400.739999999998</v>
      </c>
      <c r="Y405" s="35">
        <f t="shared" si="71"/>
        <v>0.58629011546106247</v>
      </c>
      <c r="Z405" s="20"/>
      <c r="AA405" s="11"/>
      <c r="AB405" s="20"/>
      <c r="AC405" s="24" t="s">
        <v>128</v>
      </c>
      <c r="AD405" s="136" t="s">
        <v>47</v>
      </c>
      <c r="AE405" s="136"/>
      <c r="AF405" s="137"/>
      <c r="AG405" s="136"/>
      <c r="AH405" s="138"/>
      <c r="AK405" s="27"/>
    </row>
    <row r="406" spans="1:37" s="26" customFormat="1" ht="14.25" customHeight="1" x14ac:dyDescent="0.45">
      <c r="A406" s="28" t="s">
        <v>802</v>
      </c>
      <c r="B406" s="8" t="s">
        <v>35</v>
      </c>
      <c r="C406" s="8" t="s">
        <v>36</v>
      </c>
      <c r="D406" s="9" t="s">
        <v>992</v>
      </c>
      <c r="E406" s="9">
        <v>43433</v>
      </c>
      <c r="F406" s="10">
        <v>43409</v>
      </c>
      <c r="G406" s="11">
        <v>43409</v>
      </c>
      <c r="H406" s="14">
        <v>43418</v>
      </c>
      <c r="I406" s="54">
        <v>43426</v>
      </c>
      <c r="J406" s="15">
        <v>43425</v>
      </c>
      <c r="K406" s="14">
        <v>43433</v>
      </c>
      <c r="L406" s="9"/>
      <c r="M406" s="10" t="str">
        <f t="shared" si="67"/>
        <v>Nov-18</v>
      </c>
      <c r="N406" s="10" t="str">
        <f t="shared" si="68"/>
        <v>Nov-18</v>
      </c>
      <c r="O406" s="134" t="s">
        <v>993</v>
      </c>
      <c r="P406" s="135" t="s">
        <v>235</v>
      </c>
      <c r="Q406" s="45">
        <v>13865.48</v>
      </c>
      <c r="R406" s="45">
        <v>8228.31</v>
      </c>
      <c r="S406" s="45">
        <f t="shared" si="73"/>
        <v>22093.79</v>
      </c>
      <c r="T406" s="64">
        <f t="shared" si="69"/>
        <v>24303.169000000002</v>
      </c>
      <c r="U406" s="65">
        <v>12998.037</v>
      </c>
      <c r="V406" s="65"/>
      <c r="W406" s="21">
        <f t="shared" si="72"/>
        <v>12998.037</v>
      </c>
      <c r="X406" s="22">
        <f t="shared" si="70"/>
        <v>9095.7530000000006</v>
      </c>
      <c r="Y406" s="35">
        <f t="shared" si="71"/>
        <v>0.41168821646263498</v>
      </c>
      <c r="Z406" s="20"/>
      <c r="AA406" s="11"/>
      <c r="AB406" s="20"/>
      <c r="AC406" s="24" t="s">
        <v>128</v>
      </c>
      <c r="AD406" s="136" t="s">
        <v>47</v>
      </c>
      <c r="AE406" s="136"/>
      <c r="AF406" s="137"/>
      <c r="AG406" s="136"/>
      <c r="AH406" s="138"/>
      <c r="AK406" s="27"/>
    </row>
    <row r="407" spans="1:37" s="26" customFormat="1" ht="14.25" customHeight="1" x14ac:dyDescent="0.45">
      <c r="A407" s="28" t="s">
        <v>802</v>
      </c>
      <c r="B407" s="8" t="s">
        <v>35</v>
      </c>
      <c r="C407" s="8" t="s">
        <v>36</v>
      </c>
      <c r="D407" s="9" t="s">
        <v>994</v>
      </c>
      <c r="E407" s="9">
        <v>43439</v>
      </c>
      <c r="F407" s="10">
        <v>43409</v>
      </c>
      <c r="G407" s="11">
        <v>43410</v>
      </c>
      <c r="H407" s="14">
        <v>43416</v>
      </c>
      <c r="I407" s="54">
        <v>43423</v>
      </c>
      <c r="J407" s="15">
        <v>43425</v>
      </c>
      <c r="K407" s="14">
        <v>43438</v>
      </c>
      <c r="L407" s="9"/>
      <c r="M407" s="10" t="str">
        <f t="shared" si="67"/>
        <v>Nov-18</v>
      </c>
      <c r="N407" s="10" t="str">
        <f t="shared" si="68"/>
        <v>Dec-18</v>
      </c>
      <c r="O407" s="134" t="s">
        <v>995</v>
      </c>
      <c r="P407" s="135" t="s">
        <v>534</v>
      </c>
      <c r="Q407" s="45">
        <v>1499.14</v>
      </c>
      <c r="R407" s="45">
        <v>3398.74</v>
      </c>
      <c r="S407" s="45">
        <f t="shared" si="73"/>
        <v>4897.88</v>
      </c>
      <c r="T407" s="64">
        <f t="shared" si="69"/>
        <v>5387.6680000000006</v>
      </c>
      <c r="U407" s="139">
        <f>436.36+2000.69</f>
        <v>2437.0500000000002</v>
      </c>
      <c r="V407" s="65"/>
      <c r="W407" s="21">
        <f t="shared" si="72"/>
        <v>2437.0500000000002</v>
      </c>
      <c r="X407" s="22">
        <f t="shared" si="70"/>
        <v>2460.83</v>
      </c>
      <c r="Y407" s="35">
        <f t="shared" si="71"/>
        <v>0.50242758091255801</v>
      </c>
      <c r="Z407" s="20"/>
      <c r="AA407" s="11"/>
      <c r="AB407" s="20"/>
      <c r="AC407" s="24" t="s">
        <v>128</v>
      </c>
      <c r="AD407" s="136" t="s">
        <v>47</v>
      </c>
      <c r="AE407" s="136"/>
      <c r="AF407" s="137"/>
      <c r="AG407" s="136"/>
      <c r="AH407" s="138"/>
      <c r="AK407" s="27"/>
    </row>
    <row r="408" spans="1:37" s="26" customFormat="1" ht="14.25" customHeight="1" x14ac:dyDescent="0.45">
      <c r="A408" s="28" t="s">
        <v>802</v>
      </c>
      <c r="B408" s="8" t="s">
        <v>35</v>
      </c>
      <c r="C408" s="8" t="s">
        <v>36</v>
      </c>
      <c r="D408" s="9" t="s">
        <v>996</v>
      </c>
      <c r="E408" s="9">
        <v>43439</v>
      </c>
      <c r="F408" s="10">
        <v>43409</v>
      </c>
      <c r="G408" s="11">
        <v>43409</v>
      </c>
      <c r="H408" s="14">
        <v>43416</v>
      </c>
      <c r="I408" s="54">
        <v>43423</v>
      </c>
      <c r="J408" s="15">
        <v>43425</v>
      </c>
      <c r="K408" s="14">
        <v>43438</v>
      </c>
      <c r="L408" s="9"/>
      <c r="M408" s="10" t="str">
        <f t="shared" si="67"/>
        <v>Nov-18</v>
      </c>
      <c r="N408" s="10" t="str">
        <f t="shared" si="68"/>
        <v>Dec-18</v>
      </c>
      <c r="O408" s="134" t="s">
        <v>997</v>
      </c>
      <c r="P408" s="135" t="s">
        <v>534</v>
      </c>
      <c r="Q408" s="45">
        <v>4744.32</v>
      </c>
      <c r="R408" s="45">
        <v>2556.1799999999998</v>
      </c>
      <c r="S408" s="45">
        <f t="shared" si="73"/>
        <v>7300.5</v>
      </c>
      <c r="T408" s="64">
        <f t="shared" si="69"/>
        <v>8030.5500000000011</v>
      </c>
      <c r="U408" s="65">
        <v>3577.12</v>
      </c>
      <c r="V408" s="65"/>
      <c r="W408" s="21">
        <f t="shared" si="72"/>
        <v>3577.12</v>
      </c>
      <c r="X408" s="22">
        <f t="shared" si="70"/>
        <v>3723.38</v>
      </c>
      <c r="Y408" s="35">
        <f t="shared" si="71"/>
        <v>0.51001712211492367</v>
      </c>
      <c r="Z408" s="20"/>
      <c r="AA408" s="11"/>
      <c r="AB408" s="20"/>
      <c r="AC408" s="24" t="s">
        <v>128</v>
      </c>
      <c r="AD408" s="136" t="s">
        <v>47</v>
      </c>
      <c r="AE408" s="136"/>
      <c r="AF408" s="137"/>
      <c r="AG408" s="136"/>
      <c r="AH408" s="138"/>
      <c r="AK408" s="27"/>
    </row>
    <row r="409" spans="1:37" s="26" customFormat="1" ht="14.25" customHeight="1" x14ac:dyDescent="0.45">
      <c r="A409" s="28" t="s">
        <v>802</v>
      </c>
      <c r="B409" s="8" t="s">
        <v>35</v>
      </c>
      <c r="C409" s="8" t="s">
        <v>36</v>
      </c>
      <c r="D409" s="9" t="s">
        <v>998</v>
      </c>
      <c r="E409" s="9">
        <v>43439</v>
      </c>
      <c r="F409" s="10">
        <v>43404</v>
      </c>
      <c r="G409" s="11">
        <v>43409</v>
      </c>
      <c r="H409" s="14">
        <v>43419</v>
      </c>
      <c r="I409" s="54">
        <v>43426</v>
      </c>
      <c r="J409" s="15">
        <v>43425</v>
      </c>
      <c r="K409" s="14">
        <v>43438</v>
      </c>
      <c r="L409" s="9"/>
      <c r="M409" s="10" t="str">
        <f t="shared" si="67"/>
        <v>Nov-18</v>
      </c>
      <c r="N409" s="10" t="str">
        <f t="shared" si="68"/>
        <v>Dec-18</v>
      </c>
      <c r="O409" s="134" t="s">
        <v>999</v>
      </c>
      <c r="P409" s="135" t="s">
        <v>1000</v>
      </c>
      <c r="Q409" s="45">
        <v>13113.23</v>
      </c>
      <c r="R409" s="45">
        <v>3137.48</v>
      </c>
      <c r="S409" s="45">
        <f t="shared" si="73"/>
        <v>16250.71</v>
      </c>
      <c r="T409" s="64">
        <f t="shared" si="69"/>
        <v>17875.780999999999</v>
      </c>
      <c r="U409" s="65">
        <v>10825.0826</v>
      </c>
      <c r="V409" s="65"/>
      <c r="W409" s="21">
        <f t="shared" si="72"/>
        <v>10825.0826</v>
      </c>
      <c r="X409" s="22">
        <f t="shared" si="70"/>
        <v>5425.6273999999994</v>
      </c>
      <c r="Y409" s="35">
        <f t="shared" si="71"/>
        <v>0.33387017551848502</v>
      </c>
      <c r="Z409" s="20"/>
      <c r="AA409" s="11"/>
      <c r="AB409" s="20"/>
      <c r="AC409" s="24" t="s">
        <v>128</v>
      </c>
      <c r="AD409" s="136" t="s">
        <v>47</v>
      </c>
      <c r="AE409" s="136"/>
      <c r="AF409" s="137"/>
      <c r="AG409" s="136"/>
      <c r="AH409" s="138"/>
      <c r="AK409" s="27"/>
    </row>
    <row r="410" spans="1:37" s="26" customFormat="1" ht="14.25" customHeight="1" x14ac:dyDescent="0.45">
      <c r="A410" s="8" t="s">
        <v>34</v>
      </c>
      <c r="B410" s="8" t="s">
        <v>129</v>
      </c>
      <c r="C410" s="8" t="s">
        <v>57</v>
      </c>
      <c r="D410" s="9" t="s">
        <v>1001</v>
      </c>
      <c r="E410" s="9">
        <v>43418</v>
      </c>
      <c r="F410" s="10">
        <v>43389</v>
      </c>
      <c r="G410" s="11">
        <v>43389</v>
      </c>
      <c r="H410" s="14">
        <v>43389</v>
      </c>
      <c r="I410" s="54">
        <v>43397</v>
      </c>
      <c r="J410" s="14">
        <f>G410+14</f>
        <v>43403</v>
      </c>
      <c r="K410" s="14">
        <f>J410+14</f>
        <v>43417</v>
      </c>
      <c r="L410" s="9"/>
      <c r="M410" s="10" t="str">
        <f t="shared" si="67"/>
        <v>Oct-18</v>
      </c>
      <c r="N410" s="10" t="str">
        <f t="shared" si="68"/>
        <v>Nov-18</v>
      </c>
      <c r="O410" s="17" t="s">
        <v>1002</v>
      </c>
      <c r="P410" s="33" t="s">
        <v>1003</v>
      </c>
      <c r="Q410" s="45">
        <v>9572.93</v>
      </c>
      <c r="R410" s="95">
        <v>-2348.9629999999997</v>
      </c>
      <c r="S410" s="45">
        <f t="shared" si="73"/>
        <v>7223.9670000000006</v>
      </c>
      <c r="T410" s="64">
        <f t="shared" si="69"/>
        <v>7946.3637000000017</v>
      </c>
      <c r="U410" s="65"/>
      <c r="V410" s="65"/>
      <c r="W410" s="21">
        <f t="shared" si="72"/>
        <v>0</v>
      </c>
      <c r="X410" s="22">
        <f t="shared" si="70"/>
        <v>7223.9670000000006</v>
      </c>
      <c r="Y410" s="35">
        <f t="shared" si="71"/>
        <v>1</v>
      </c>
      <c r="Z410" s="20"/>
      <c r="AA410" s="11"/>
      <c r="AB410" s="20"/>
      <c r="AC410" s="74" t="s">
        <v>69</v>
      </c>
      <c r="AD410" s="10">
        <v>43338</v>
      </c>
      <c r="AE410" s="10">
        <v>43343</v>
      </c>
      <c r="AF410" s="63">
        <f>AE410-AD410</f>
        <v>5</v>
      </c>
      <c r="AG410" s="10">
        <v>43420</v>
      </c>
      <c r="AH410" s="25">
        <f>AG410-AE410</f>
        <v>77</v>
      </c>
      <c r="AK410" s="27"/>
    </row>
    <row r="411" spans="1:37" s="26" customFormat="1" ht="14.25" customHeight="1" x14ac:dyDescent="0.45">
      <c r="A411" s="28" t="s">
        <v>802</v>
      </c>
      <c r="B411" s="8" t="s">
        <v>35</v>
      </c>
      <c r="C411" s="8" t="s">
        <v>36</v>
      </c>
      <c r="D411" s="9" t="s">
        <v>1004</v>
      </c>
      <c r="E411" s="9">
        <v>43439</v>
      </c>
      <c r="F411" s="10">
        <v>43402</v>
      </c>
      <c r="G411" s="11">
        <v>43409</v>
      </c>
      <c r="H411" s="14">
        <v>43413</v>
      </c>
      <c r="I411" s="54">
        <v>43423</v>
      </c>
      <c r="J411" s="15">
        <v>43425</v>
      </c>
      <c r="K411" s="14">
        <f>J411+14</f>
        <v>43439</v>
      </c>
      <c r="L411" s="9"/>
      <c r="M411" s="10" t="str">
        <f t="shared" si="67"/>
        <v>Nov-18</v>
      </c>
      <c r="N411" s="10" t="str">
        <f t="shared" si="68"/>
        <v>Dec-18</v>
      </c>
      <c r="O411" s="134" t="s">
        <v>1005</v>
      </c>
      <c r="P411" s="135" t="s">
        <v>715</v>
      </c>
      <c r="Q411" s="45">
        <v>5791.37</v>
      </c>
      <c r="R411" s="45">
        <v>2892.16</v>
      </c>
      <c r="S411" s="45">
        <f t="shared" si="73"/>
        <v>8683.5299999999988</v>
      </c>
      <c r="T411" s="64">
        <f t="shared" si="69"/>
        <v>9551.8829999999998</v>
      </c>
      <c r="U411" s="65">
        <v>6773.2364000000007</v>
      </c>
      <c r="V411" s="65"/>
      <c r="W411" s="21">
        <f t="shared" si="72"/>
        <v>6773.2364000000007</v>
      </c>
      <c r="X411" s="22">
        <f t="shared" si="70"/>
        <v>1910.2935999999982</v>
      </c>
      <c r="Y411" s="35">
        <f t="shared" si="71"/>
        <v>0.21999044167521714</v>
      </c>
      <c r="Z411" s="20"/>
      <c r="AA411" s="11"/>
      <c r="AB411" s="20"/>
      <c r="AC411" s="24" t="s">
        <v>128</v>
      </c>
      <c r="AD411" s="136" t="s">
        <v>47</v>
      </c>
      <c r="AE411" s="136"/>
      <c r="AF411" s="137"/>
      <c r="AG411" s="136"/>
      <c r="AH411" s="138"/>
      <c r="AK411" s="27"/>
    </row>
    <row r="412" spans="1:37" s="26" customFormat="1" ht="14.25" customHeight="1" x14ac:dyDescent="0.45">
      <c r="A412" s="28" t="s">
        <v>41</v>
      </c>
      <c r="B412" s="8" t="s">
        <v>35</v>
      </c>
      <c r="C412" s="8" t="s">
        <v>36</v>
      </c>
      <c r="D412" s="9" t="s">
        <v>1006</v>
      </c>
      <c r="E412" s="9">
        <v>43402</v>
      </c>
      <c r="F412" s="10">
        <v>43383</v>
      </c>
      <c r="G412" s="11">
        <v>43383</v>
      </c>
      <c r="H412" s="67"/>
      <c r="I412" s="68"/>
      <c r="J412" s="14">
        <f>G412+14</f>
        <v>43397</v>
      </c>
      <c r="K412" s="14">
        <v>43402</v>
      </c>
      <c r="L412" s="9"/>
      <c r="M412" s="10" t="str">
        <f t="shared" si="67"/>
        <v>Oct-18</v>
      </c>
      <c r="N412" s="10" t="str">
        <f t="shared" si="68"/>
        <v>Oct-18</v>
      </c>
      <c r="O412" s="17" t="s">
        <v>1007</v>
      </c>
      <c r="P412" s="33" t="s">
        <v>81</v>
      </c>
      <c r="Q412" s="45">
        <v>668.28</v>
      </c>
      <c r="R412" s="73"/>
      <c r="S412" s="45">
        <f t="shared" si="73"/>
        <v>668.28</v>
      </c>
      <c r="T412" s="64">
        <f t="shared" si="69"/>
        <v>735.10800000000006</v>
      </c>
      <c r="U412" s="65"/>
      <c r="V412" s="65">
        <v>267.93251999999995</v>
      </c>
      <c r="W412" s="21">
        <f t="shared" si="72"/>
        <v>267.93251999999995</v>
      </c>
      <c r="X412" s="22">
        <f t="shared" si="70"/>
        <v>400.34748000000002</v>
      </c>
      <c r="Y412" s="35">
        <f t="shared" si="71"/>
        <v>0.59907146704973968</v>
      </c>
      <c r="Z412" s="20"/>
      <c r="AA412" s="11"/>
      <c r="AB412" s="20"/>
      <c r="AC412" s="24" t="s">
        <v>73</v>
      </c>
      <c r="AD412" s="10" t="s">
        <v>47</v>
      </c>
      <c r="AE412" s="10">
        <v>43357</v>
      </c>
      <c r="AF412" s="48"/>
      <c r="AG412" s="10">
        <v>43445</v>
      </c>
      <c r="AH412" s="25">
        <f t="shared" ref="AH412:AH442" si="74">AG412-AE412</f>
        <v>88</v>
      </c>
      <c r="AK412" s="27"/>
    </row>
    <row r="413" spans="1:37" s="26" customFormat="1" ht="14.25" customHeight="1" x14ac:dyDescent="0.45">
      <c r="A413" s="8" t="s">
        <v>34</v>
      </c>
      <c r="B413" s="8" t="s">
        <v>65</v>
      </c>
      <c r="C413" s="8" t="s">
        <v>57</v>
      </c>
      <c r="D413" s="9" t="s">
        <v>1008</v>
      </c>
      <c r="E413" s="9">
        <v>43411</v>
      </c>
      <c r="F413" s="10">
        <v>43360</v>
      </c>
      <c r="G413" s="10">
        <v>43360</v>
      </c>
      <c r="H413" s="15">
        <v>43361</v>
      </c>
      <c r="I413" s="49">
        <v>43399</v>
      </c>
      <c r="J413" s="14">
        <v>43370</v>
      </c>
      <c r="K413" s="14">
        <v>43410</v>
      </c>
      <c r="L413" s="9"/>
      <c r="M413" s="10" t="str">
        <f t="shared" si="67"/>
        <v>Sep-18</v>
      </c>
      <c r="N413" s="10" t="str">
        <f t="shared" si="68"/>
        <v>Nov-18</v>
      </c>
      <c r="O413" s="17" t="s">
        <v>1009</v>
      </c>
      <c r="P413" s="33" t="s">
        <v>178</v>
      </c>
      <c r="Q413" s="45">
        <v>1990.1</v>
      </c>
      <c r="R413" s="45">
        <v>910.59</v>
      </c>
      <c r="S413" s="45">
        <f t="shared" si="73"/>
        <v>2900.69</v>
      </c>
      <c r="T413" s="64">
        <f t="shared" si="69"/>
        <v>3190.7590000000005</v>
      </c>
      <c r="U413" s="65"/>
      <c r="V413" s="65"/>
      <c r="W413" s="21">
        <f t="shared" si="72"/>
        <v>0</v>
      </c>
      <c r="X413" s="22">
        <f t="shared" si="70"/>
        <v>2900.69</v>
      </c>
      <c r="Y413" s="35">
        <f t="shared" si="71"/>
        <v>1</v>
      </c>
      <c r="Z413" s="20"/>
      <c r="AA413" s="11"/>
      <c r="AB413" s="20"/>
      <c r="AC413" s="24" t="s">
        <v>73</v>
      </c>
      <c r="AD413" s="10" t="s">
        <v>47</v>
      </c>
      <c r="AE413" s="10">
        <v>43350</v>
      </c>
      <c r="AF413" s="48"/>
      <c r="AG413" s="10">
        <v>43375</v>
      </c>
      <c r="AH413" s="25">
        <f t="shared" si="74"/>
        <v>25</v>
      </c>
      <c r="AK413" s="27"/>
    </row>
    <row r="414" spans="1:37" s="26" customFormat="1" ht="14.25" customHeight="1" x14ac:dyDescent="0.45">
      <c r="A414" s="28" t="s">
        <v>41</v>
      </c>
      <c r="B414" s="8" t="s">
        <v>100</v>
      </c>
      <c r="C414" s="8" t="s">
        <v>57</v>
      </c>
      <c r="D414" s="9"/>
      <c r="E414" s="9"/>
      <c r="F414" s="10">
        <v>43488</v>
      </c>
      <c r="G414" s="11">
        <v>43488</v>
      </c>
      <c r="H414" s="15">
        <v>43488</v>
      </c>
      <c r="I414" s="49">
        <v>43542</v>
      </c>
      <c r="J414" s="14">
        <f t="shared" ref="J414:J419" si="75">G414+14</f>
        <v>43502</v>
      </c>
      <c r="K414" s="15">
        <v>43554</v>
      </c>
      <c r="L414" s="9"/>
      <c r="M414" s="10" t="str">
        <f t="shared" si="67"/>
        <v>Jan-19</v>
      </c>
      <c r="N414" s="10" t="str">
        <f t="shared" si="68"/>
        <v>Mar-19</v>
      </c>
      <c r="O414" s="17" t="s">
        <v>1010</v>
      </c>
      <c r="P414" s="33" t="s">
        <v>1011</v>
      </c>
      <c r="Q414" s="45">
        <v>2919.49</v>
      </c>
      <c r="R414" s="45">
        <v>5874.3639999999996</v>
      </c>
      <c r="S414" s="45">
        <f t="shared" si="73"/>
        <v>8793.8539999999994</v>
      </c>
      <c r="T414" s="64">
        <f t="shared" si="69"/>
        <v>9673.2394000000004</v>
      </c>
      <c r="U414" s="65">
        <v>1770.88</v>
      </c>
      <c r="V414" s="65"/>
      <c r="W414" s="21">
        <f t="shared" si="72"/>
        <v>1770.88</v>
      </c>
      <c r="X414" s="22">
        <f t="shared" si="70"/>
        <v>7022.9739999999993</v>
      </c>
      <c r="Y414" s="35">
        <f t="shared" si="71"/>
        <v>0.79862299283112959</v>
      </c>
      <c r="Z414" s="20"/>
      <c r="AA414" s="11"/>
      <c r="AB414" s="20"/>
      <c r="AC414" s="24" t="s">
        <v>73</v>
      </c>
      <c r="AD414" s="10" t="s">
        <v>47</v>
      </c>
      <c r="AE414" s="10">
        <v>43361</v>
      </c>
      <c r="AF414" s="48"/>
      <c r="AG414" s="10">
        <v>43424</v>
      </c>
      <c r="AH414" s="25">
        <f t="shared" si="74"/>
        <v>63</v>
      </c>
      <c r="AK414" s="27"/>
    </row>
    <row r="415" spans="1:37" s="26" customFormat="1" ht="14.25" customHeight="1" x14ac:dyDescent="0.45">
      <c r="A415" s="28" t="s">
        <v>41</v>
      </c>
      <c r="B415" s="8" t="s">
        <v>35</v>
      </c>
      <c r="C415" s="8" t="s">
        <v>36</v>
      </c>
      <c r="D415" s="9" t="s">
        <v>1012</v>
      </c>
      <c r="E415" s="9">
        <v>43388</v>
      </c>
      <c r="F415" s="10">
        <v>43363</v>
      </c>
      <c r="G415" s="11">
        <v>43363</v>
      </c>
      <c r="H415" s="67"/>
      <c r="I415" s="68"/>
      <c r="J415" s="14">
        <f t="shared" si="75"/>
        <v>43377</v>
      </c>
      <c r="K415" s="14">
        <f>J415+14</f>
        <v>43391</v>
      </c>
      <c r="L415" s="9"/>
      <c r="M415" s="10" t="str">
        <f t="shared" si="67"/>
        <v>Sep-18</v>
      </c>
      <c r="N415" s="10" t="str">
        <f t="shared" si="68"/>
        <v>Oct-18</v>
      </c>
      <c r="O415" s="17" t="s">
        <v>1013</v>
      </c>
      <c r="P415" s="33" t="s">
        <v>72</v>
      </c>
      <c r="Q415" s="45">
        <v>5336.12</v>
      </c>
      <c r="R415" s="73"/>
      <c r="S415" s="45">
        <f t="shared" si="73"/>
        <v>5336.12</v>
      </c>
      <c r="T415" s="64">
        <f t="shared" si="69"/>
        <v>5869.732</v>
      </c>
      <c r="U415" s="65">
        <v>1105.82</v>
      </c>
      <c r="V415" s="65"/>
      <c r="W415" s="21">
        <f t="shared" si="72"/>
        <v>1105.82</v>
      </c>
      <c r="X415" s="22">
        <f t="shared" si="70"/>
        <v>4230.3</v>
      </c>
      <c r="Y415" s="35">
        <f t="shared" si="71"/>
        <v>0.79276702922722886</v>
      </c>
      <c r="Z415" s="20"/>
      <c r="AA415" s="11"/>
      <c r="AB415" s="20"/>
      <c r="AC415" s="24" t="s">
        <v>73</v>
      </c>
      <c r="AD415" s="10" t="s">
        <v>47</v>
      </c>
      <c r="AE415" s="10">
        <v>43360</v>
      </c>
      <c r="AF415" s="48"/>
      <c r="AG415" s="10">
        <v>43446</v>
      </c>
      <c r="AH415" s="25">
        <f t="shared" si="74"/>
        <v>86</v>
      </c>
      <c r="AK415" s="27"/>
    </row>
    <row r="416" spans="1:37" s="26" customFormat="1" ht="14.25" customHeight="1" x14ac:dyDescent="0.45">
      <c r="A416" s="28" t="s">
        <v>41</v>
      </c>
      <c r="B416" s="8" t="s">
        <v>56</v>
      </c>
      <c r="C416" s="8" t="s">
        <v>57</v>
      </c>
      <c r="D416" s="9"/>
      <c r="E416" s="9"/>
      <c r="F416" s="10">
        <v>43516</v>
      </c>
      <c r="G416" s="11">
        <v>43516</v>
      </c>
      <c r="H416" s="51">
        <v>43511</v>
      </c>
      <c r="I416" s="52"/>
      <c r="J416" s="14">
        <f t="shared" si="75"/>
        <v>43530</v>
      </c>
      <c r="K416" s="51">
        <f>J416+14</f>
        <v>43544</v>
      </c>
      <c r="L416" s="9"/>
      <c r="M416" s="10" t="str">
        <f t="shared" si="67"/>
        <v>Feb-19</v>
      </c>
      <c r="N416" s="10" t="str">
        <f t="shared" si="68"/>
        <v>Mar-19</v>
      </c>
      <c r="O416" s="17" t="s">
        <v>1014</v>
      </c>
      <c r="P416" s="33" t="s">
        <v>1015</v>
      </c>
      <c r="Q416" s="45">
        <v>10684.8</v>
      </c>
      <c r="R416" s="45">
        <v>-4767.6400000000003</v>
      </c>
      <c r="S416" s="45">
        <f t="shared" si="73"/>
        <v>5917.1599999999989</v>
      </c>
      <c r="T416" s="64">
        <f t="shared" si="69"/>
        <v>6508.8759999999993</v>
      </c>
      <c r="U416" s="65"/>
      <c r="V416" s="65"/>
      <c r="W416" s="21">
        <f t="shared" si="72"/>
        <v>0</v>
      </c>
      <c r="X416" s="22">
        <f t="shared" si="70"/>
        <v>5917.1599999999989</v>
      </c>
      <c r="Y416" s="35">
        <f t="shared" si="71"/>
        <v>1</v>
      </c>
      <c r="Z416" s="20"/>
      <c r="AA416" s="11"/>
      <c r="AB416" s="20"/>
      <c r="AC416" s="24" t="s">
        <v>73</v>
      </c>
      <c r="AD416" s="10" t="s">
        <v>47</v>
      </c>
      <c r="AE416" s="10">
        <v>43361</v>
      </c>
      <c r="AF416" s="48"/>
      <c r="AG416" s="10">
        <v>43434</v>
      </c>
      <c r="AH416" s="25">
        <f t="shared" si="74"/>
        <v>73</v>
      </c>
      <c r="AK416" s="27"/>
    </row>
    <row r="417" spans="1:37" s="26" customFormat="1" ht="14.25" customHeight="1" x14ac:dyDescent="0.45">
      <c r="A417" s="8" t="s">
        <v>34</v>
      </c>
      <c r="B417" s="8" t="s">
        <v>129</v>
      </c>
      <c r="C417" s="8" t="s">
        <v>57</v>
      </c>
      <c r="D417" s="9" t="s">
        <v>1016</v>
      </c>
      <c r="E417" s="9">
        <v>43483</v>
      </c>
      <c r="F417" s="10">
        <v>43444</v>
      </c>
      <c r="G417" s="11">
        <v>43444</v>
      </c>
      <c r="H417" s="14">
        <v>43444</v>
      </c>
      <c r="I417" s="54">
        <v>43452</v>
      </c>
      <c r="J417" s="14">
        <f t="shared" si="75"/>
        <v>43458</v>
      </c>
      <c r="K417" s="90">
        <v>43487</v>
      </c>
      <c r="L417" s="9"/>
      <c r="M417" s="10" t="str">
        <f t="shared" si="67"/>
        <v>Dec-18</v>
      </c>
      <c r="N417" s="10" t="str">
        <f t="shared" si="68"/>
        <v>Jan-19</v>
      </c>
      <c r="O417" s="17" t="s">
        <v>1017</v>
      </c>
      <c r="P417" s="33" t="s">
        <v>1018</v>
      </c>
      <c r="Q417" s="45">
        <v>24419.13</v>
      </c>
      <c r="R417" s="45">
        <v>15576.51</v>
      </c>
      <c r="S417" s="45">
        <f t="shared" si="73"/>
        <v>39995.64</v>
      </c>
      <c r="T417" s="64">
        <f t="shared" si="69"/>
        <v>43995.204000000005</v>
      </c>
      <c r="U417" s="65"/>
      <c r="V417" s="65">
        <v>28099.781854000004</v>
      </c>
      <c r="W417" s="21">
        <f t="shared" si="72"/>
        <v>28099.781854000004</v>
      </c>
      <c r="X417" s="22">
        <f t="shared" si="70"/>
        <v>11895.858145999995</v>
      </c>
      <c r="Y417" s="35">
        <f t="shared" si="71"/>
        <v>0.2974288733972002</v>
      </c>
      <c r="Z417" s="20"/>
      <c r="AA417" s="11"/>
      <c r="AB417" s="20"/>
      <c r="AC417" s="24" t="s">
        <v>69</v>
      </c>
      <c r="AD417" s="10">
        <v>43341</v>
      </c>
      <c r="AE417" s="10">
        <v>43360</v>
      </c>
      <c r="AF417" s="63">
        <f>AE417-AD417</f>
        <v>19</v>
      </c>
      <c r="AG417" s="10">
        <v>43425</v>
      </c>
      <c r="AH417" s="25">
        <f t="shared" si="74"/>
        <v>65</v>
      </c>
      <c r="AK417" s="27"/>
    </row>
    <row r="418" spans="1:37" s="26" customFormat="1" ht="14.25" customHeight="1" x14ac:dyDescent="0.45">
      <c r="A418" s="28" t="s">
        <v>41</v>
      </c>
      <c r="B418" s="8" t="s">
        <v>35</v>
      </c>
      <c r="C418" s="8" t="s">
        <v>43</v>
      </c>
      <c r="D418" s="9"/>
      <c r="E418" s="9"/>
      <c r="F418" s="10">
        <v>43488</v>
      </c>
      <c r="G418" s="11">
        <v>43488</v>
      </c>
      <c r="H418" s="15">
        <v>43488</v>
      </c>
      <c r="I418" s="49">
        <v>43542</v>
      </c>
      <c r="J418" s="14">
        <f t="shared" si="75"/>
        <v>43502</v>
      </c>
      <c r="K418" s="15">
        <v>43554</v>
      </c>
      <c r="L418" s="9"/>
      <c r="M418" s="10" t="str">
        <f t="shared" si="67"/>
        <v>Jan-19</v>
      </c>
      <c r="N418" s="10" t="str">
        <f t="shared" si="68"/>
        <v>Mar-19</v>
      </c>
      <c r="O418" s="17" t="s">
        <v>1019</v>
      </c>
      <c r="P418" s="33" t="s">
        <v>1020</v>
      </c>
      <c r="Q418" s="45">
        <v>1207.53</v>
      </c>
      <c r="R418" s="45">
        <v>7192.0500000000011</v>
      </c>
      <c r="S418" s="45">
        <f t="shared" si="73"/>
        <v>8399.5800000000017</v>
      </c>
      <c r="T418" s="64">
        <f t="shared" si="69"/>
        <v>9239.5380000000023</v>
      </c>
      <c r="U418" s="65"/>
      <c r="V418" s="65"/>
      <c r="W418" s="21">
        <f t="shared" si="72"/>
        <v>0</v>
      </c>
      <c r="X418" s="22">
        <f t="shared" si="70"/>
        <v>8399.5800000000017</v>
      </c>
      <c r="Y418" s="35">
        <f t="shared" si="71"/>
        <v>1</v>
      </c>
      <c r="Z418" s="20"/>
      <c r="AA418" s="11"/>
      <c r="AB418" s="20"/>
      <c r="AC418" s="24" t="s">
        <v>73</v>
      </c>
      <c r="AD418" s="10" t="s">
        <v>47</v>
      </c>
      <c r="AE418" s="10">
        <v>43361</v>
      </c>
      <c r="AF418" s="48"/>
      <c r="AG418" s="10">
        <v>43434</v>
      </c>
      <c r="AH418" s="25">
        <f t="shared" si="74"/>
        <v>73</v>
      </c>
      <c r="AK418" s="27"/>
    </row>
    <row r="419" spans="1:37" s="26" customFormat="1" ht="14.25" customHeight="1" x14ac:dyDescent="0.45">
      <c r="A419" s="8" t="s">
        <v>774</v>
      </c>
      <c r="B419" s="8" t="s">
        <v>35</v>
      </c>
      <c r="C419" s="8" t="s">
        <v>36</v>
      </c>
      <c r="D419" s="9"/>
      <c r="E419" s="9"/>
      <c r="F419" s="10">
        <v>43496</v>
      </c>
      <c r="G419" s="11">
        <v>43496</v>
      </c>
      <c r="H419" s="14">
        <v>43497</v>
      </c>
      <c r="I419" s="54">
        <v>43507</v>
      </c>
      <c r="J419" s="51">
        <f t="shared" si="75"/>
        <v>43510</v>
      </c>
      <c r="K419" s="51"/>
      <c r="L419" s="9"/>
      <c r="M419" s="10" t="str">
        <f t="shared" si="67"/>
        <v>Jan-19</v>
      </c>
      <c r="N419" s="10" t="str">
        <f t="shared" si="68"/>
        <v>Jan-00</v>
      </c>
      <c r="O419" s="113" t="s">
        <v>1021</v>
      </c>
      <c r="P419" s="114" t="s">
        <v>39</v>
      </c>
      <c r="Q419" s="45">
        <f>45741.97-Q420</f>
        <v>32019.38</v>
      </c>
      <c r="R419" s="45">
        <v>127924.42</v>
      </c>
      <c r="S419" s="45">
        <f>SUM(Q419:R419)</f>
        <v>159943.79999999999</v>
      </c>
      <c r="T419" s="64">
        <f t="shared" si="69"/>
        <v>175938.18</v>
      </c>
      <c r="U419" s="65">
        <v>110714.9</v>
      </c>
      <c r="V419" s="65"/>
      <c r="W419" s="21">
        <f t="shared" si="72"/>
        <v>110714.9</v>
      </c>
      <c r="X419" s="46">
        <f t="shared" si="70"/>
        <v>49228.899999999994</v>
      </c>
      <c r="Y419" s="35">
        <f t="shared" si="71"/>
        <v>0.30778873579344745</v>
      </c>
      <c r="Z419" s="20"/>
      <c r="AA419" s="11"/>
      <c r="AB419" s="20"/>
      <c r="AC419" s="24" t="s">
        <v>69</v>
      </c>
      <c r="AD419" s="10" t="s">
        <v>47</v>
      </c>
      <c r="AE419" s="10">
        <v>43362</v>
      </c>
      <c r="AF419" s="48"/>
      <c r="AG419" s="10">
        <v>43434</v>
      </c>
      <c r="AH419" s="25">
        <f t="shared" si="74"/>
        <v>72</v>
      </c>
      <c r="AK419" s="27"/>
    </row>
    <row r="420" spans="1:37" s="26" customFormat="1" ht="14.25" customHeight="1" x14ac:dyDescent="0.45">
      <c r="A420" s="8" t="s">
        <v>546</v>
      </c>
      <c r="B420" s="8" t="s">
        <v>35</v>
      </c>
      <c r="C420" s="8" t="s">
        <v>51</v>
      </c>
      <c r="D420" s="9" t="s">
        <v>1022</v>
      </c>
      <c r="E420" s="9">
        <v>43371</v>
      </c>
      <c r="F420" s="10">
        <v>43367</v>
      </c>
      <c r="G420" s="11">
        <v>43367</v>
      </c>
      <c r="H420" s="67"/>
      <c r="I420" s="68"/>
      <c r="J420" s="67"/>
      <c r="K420" s="14">
        <v>43368</v>
      </c>
      <c r="L420" s="9"/>
      <c r="M420" s="10" t="str">
        <f t="shared" si="67"/>
        <v>Sep-18</v>
      </c>
      <c r="N420" s="10" t="str">
        <f t="shared" si="68"/>
        <v>Sep-18</v>
      </c>
      <c r="O420" s="113" t="s">
        <v>1021</v>
      </c>
      <c r="P420" s="114" t="s">
        <v>39</v>
      </c>
      <c r="Q420" s="45">
        <v>13722.59</v>
      </c>
      <c r="R420" s="45"/>
      <c r="S420" s="45">
        <f t="shared" si="73"/>
        <v>13722.59</v>
      </c>
      <c r="T420" s="64">
        <f t="shared" si="69"/>
        <v>15094.849000000002</v>
      </c>
      <c r="U420" s="65"/>
      <c r="V420" s="65"/>
      <c r="W420" s="21">
        <f t="shared" si="72"/>
        <v>0</v>
      </c>
      <c r="X420" s="22">
        <f t="shared" si="70"/>
        <v>13722.59</v>
      </c>
      <c r="Y420" s="35">
        <f t="shared" si="71"/>
        <v>1</v>
      </c>
      <c r="Z420" s="20"/>
      <c r="AA420" s="11"/>
      <c r="AB420" s="20"/>
      <c r="AC420" s="24" t="s">
        <v>69</v>
      </c>
      <c r="AD420" s="10" t="s">
        <v>47</v>
      </c>
      <c r="AE420" s="10">
        <v>43362</v>
      </c>
      <c r="AF420" s="48"/>
      <c r="AG420" s="10">
        <v>43434</v>
      </c>
      <c r="AH420" s="25">
        <f t="shared" si="74"/>
        <v>72</v>
      </c>
      <c r="AK420" s="27"/>
    </row>
    <row r="421" spans="1:37" s="26" customFormat="1" ht="14.25" customHeight="1" x14ac:dyDescent="0.45">
      <c r="A421" s="28" t="s">
        <v>41</v>
      </c>
      <c r="B421" s="8" t="s">
        <v>357</v>
      </c>
      <c r="C421" s="8" t="s">
        <v>57</v>
      </c>
      <c r="D421" s="9"/>
      <c r="E421" s="9"/>
      <c r="F421" s="10"/>
      <c r="G421" s="10">
        <v>43585</v>
      </c>
      <c r="H421" s="51"/>
      <c r="I421" s="52"/>
      <c r="J421" s="51"/>
      <c r="K421" s="51"/>
      <c r="L421" s="9"/>
      <c r="M421" s="10" t="str">
        <f t="shared" si="67"/>
        <v>Apr-19</v>
      </c>
      <c r="N421" s="10" t="str">
        <f t="shared" si="68"/>
        <v>Jan-00</v>
      </c>
      <c r="O421" s="17" t="s">
        <v>1023</v>
      </c>
      <c r="P421" s="33" t="s">
        <v>1024</v>
      </c>
      <c r="Q421" s="45">
        <v>2220.41</v>
      </c>
      <c r="R421" s="45"/>
      <c r="S421" s="45">
        <f t="shared" si="73"/>
        <v>2220.41</v>
      </c>
      <c r="T421" s="64">
        <f t="shared" si="69"/>
        <v>2442.451</v>
      </c>
      <c r="U421" s="65"/>
      <c r="V421" s="65"/>
      <c r="W421" s="21">
        <f t="shared" si="72"/>
        <v>0</v>
      </c>
      <c r="X421" s="22">
        <f t="shared" si="70"/>
        <v>2220.41</v>
      </c>
      <c r="Y421" s="35">
        <f t="shared" si="71"/>
        <v>1</v>
      </c>
      <c r="Z421" s="20"/>
      <c r="AA421" s="11"/>
      <c r="AB421" s="20"/>
      <c r="AC421" s="24" t="s">
        <v>73</v>
      </c>
      <c r="AD421" s="10" t="s">
        <v>47</v>
      </c>
      <c r="AE421" s="10">
        <v>43371</v>
      </c>
      <c r="AF421" s="48"/>
      <c r="AG421" s="10">
        <v>43404</v>
      </c>
      <c r="AH421" s="25">
        <f t="shared" si="74"/>
        <v>33</v>
      </c>
      <c r="AK421" s="27"/>
    </row>
    <row r="422" spans="1:37" s="26" customFormat="1" ht="14.25" customHeight="1" x14ac:dyDescent="0.45">
      <c r="A422" s="28" t="s">
        <v>41</v>
      </c>
      <c r="B422" s="8" t="s">
        <v>35</v>
      </c>
      <c r="C422" s="8" t="s">
        <v>43</v>
      </c>
      <c r="D422" s="9" t="s">
        <v>1025</v>
      </c>
      <c r="E422" s="9">
        <v>43472</v>
      </c>
      <c r="F422" s="10">
        <v>43437</v>
      </c>
      <c r="G422" s="11">
        <v>43437</v>
      </c>
      <c r="H422" s="67"/>
      <c r="I422" s="68"/>
      <c r="J422" s="14">
        <f>G422+14</f>
        <v>43451</v>
      </c>
      <c r="K422" s="77">
        <v>43473</v>
      </c>
      <c r="L422" s="9"/>
      <c r="M422" s="10" t="str">
        <f t="shared" si="67"/>
        <v>Dec-18</v>
      </c>
      <c r="N422" s="10" t="str">
        <f t="shared" si="68"/>
        <v>Jan-19</v>
      </c>
      <c r="O422" s="17" t="s">
        <v>1026</v>
      </c>
      <c r="P422" s="33" t="s">
        <v>520</v>
      </c>
      <c r="Q422" s="45">
        <v>1428</v>
      </c>
      <c r="R422" s="73"/>
      <c r="S422" s="45">
        <f t="shared" si="73"/>
        <v>1428</v>
      </c>
      <c r="T422" s="64">
        <f t="shared" si="69"/>
        <v>1570.8000000000002</v>
      </c>
      <c r="U422" s="65"/>
      <c r="V422" s="65"/>
      <c r="W422" s="21">
        <f t="shared" si="72"/>
        <v>0</v>
      </c>
      <c r="X422" s="22">
        <f t="shared" si="70"/>
        <v>1428</v>
      </c>
      <c r="Y422" s="35">
        <f t="shared" si="71"/>
        <v>1</v>
      </c>
      <c r="Z422" s="20"/>
      <c r="AA422" s="11"/>
      <c r="AB422" s="20"/>
      <c r="AC422" s="24" t="s">
        <v>73</v>
      </c>
      <c r="AD422" s="10" t="s">
        <v>47</v>
      </c>
      <c r="AE422" s="10">
        <v>43371</v>
      </c>
      <c r="AF422" s="48"/>
      <c r="AG422" s="10">
        <v>43396</v>
      </c>
      <c r="AH422" s="25">
        <f t="shared" si="74"/>
        <v>25</v>
      </c>
      <c r="AK422" s="27"/>
    </row>
    <row r="423" spans="1:37" s="26" customFormat="1" ht="14.25" customHeight="1" x14ac:dyDescent="0.45">
      <c r="A423" s="28" t="s">
        <v>41</v>
      </c>
      <c r="B423" s="8" t="s">
        <v>357</v>
      </c>
      <c r="C423" s="8" t="s">
        <v>57</v>
      </c>
      <c r="D423" s="9"/>
      <c r="E423" s="9"/>
      <c r="F423" s="10"/>
      <c r="G423" s="11">
        <v>43524</v>
      </c>
      <c r="H423" s="51"/>
      <c r="I423" s="52"/>
      <c r="J423" s="51"/>
      <c r="K423" s="51"/>
      <c r="L423" s="9"/>
      <c r="M423" s="10" t="str">
        <f t="shared" si="67"/>
        <v>Feb-19</v>
      </c>
      <c r="N423" s="10" t="str">
        <f t="shared" si="68"/>
        <v>Jan-00</v>
      </c>
      <c r="O423" s="17" t="s">
        <v>1027</v>
      </c>
      <c r="P423" s="33" t="s">
        <v>1028</v>
      </c>
      <c r="Q423" s="45">
        <v>7628.33</v>
      </c>
      <c r="R423" s="45"/>
      <c r="S423" s="45">
        <f t="shared" si="73"/>
        <v>7628.33</v>
      </c>
      <c r="T423" s="64">
        <f t="shared" si="69"/>
        <v>8391.1630000000005</v>
      </c>
      <c r="U423" s="65">
        <v>150</v>
      </c>
      <c r="V423" s="65"/>
      <c r="W423" s="21">
        <f t="shared" si="72"/>
        <v>150</v>
      </c>
      <c r="X423" s="22">
        <f t="shared" si="70"/>
        <v>7478.33</v>
      </c>
      <c r="Y423" s="35">
        <f t="shared" si="71"/>
        <v>0.98033645634103406</v>
      </c>
      <c r="Z423" s="20"/>
      <c r="AA423" s="11"/>
      <c r="AB423" s="20"/>
      <c r="AC423" s="24" t="s">
        <v>73</v>
      </c>
      <c r="AD423" s="10" t="s">
        <v>47</v>
      </c>
      <c r="AE423" s="10">
        <v>43375</v>
      </c>
      <c r="AF423" s="48"/>
      <c r="AG423" s="10">
        <v>43403</v>
      </c>
      <c r="AH423" s="25">
        <f t="shared" si="74"/>
        <v>28</v>
      </c>
      <c r="AK423" s="27"/>
    </row>
    <row r="424" spans="1:37" s="26" customFormat="1" ht="14.25" customHeight="1" x14ac:dyDescent="0.45">
      <c r="A424" s="28" t="s">
        <v>41</v>
      </c>
      <c r="B424" s="8" t="s">
        <v>35</v>
      </c>
      <c r="C424" s="8" t="s">
        <v>43</v>
      </c>
      <c r="D424" s="9" t="s">
        <v>1029</v>
      </c>
      <c r="E424" s="9">
        <v>43439</v>
      </c>
      <c r="F424" s="10">
        <v>43396</v>
      </c>
      <c r="G424" s="11">
        <v>43396</v>
      </c>
      <c r="H424" s="15">
        <v>43396</v>
      </c>
      <c r="I424" s="49">
        <v>43431</v>
      </c>
      <c r="J424" s="14">
        <f>G424+14</f>
        <v>43410</v>
      </c>
      <c r="K424" s="14">
        <v>43440</v>
      </c>
      <c r="L424" s="9"/>
      <c r="M424" s="10" t="str">
        <f t="shared" si="67"/>
        <v>Oct-18</v>
      </c>
      <c r="N424" s="10" t="str">
        <f t="shared" si="68"/>
        <v>Dec-18</v>
      </c>
      <c r="O424" s="17" t="s">
        <v>1030</v>
      </c>
      <c r="P424" s="33" t="s">
        <v>1031</v>
      </c>
      <c r="Q424" s="45">
        <v>9350.3700000000008</v>
      </c>
      <c r="R424" s="45">
        <v>2343.8230000000003</v>
      </c>
      <c r="S424" s="45">
        <f t="shared" si="73"/>
        <v>11694.193000000001</v>
      </c>
      <c r="T424" s="64">
        <f t="shared" si="69"/>
        <v>12863.612300000003</v>
      </c>
      <c r="U424" s="65"/>
      <c r="V424" s="65"/>
      <c r="W424" s="21">
        <f t="shared" si="72"/>
        <v>0</v>
      </c>
      <c r="X424" s="22">
        <f t="shared" si="70"/>
        <v>11694.193000000001</v>
      </c>
      <c r="Y424" s="35">
        <f t="shared" si="71"/>
        <v>1</v>
      </c>
      <c r="Z424" s="20"/>
      <c r="AA424" s="11"/>
      <c r="AB424" s="20"/>
      <c r="AC424" s="24" t="s">
        <v>73</v>
      </c>
      <c r="AD424" s="10" t="s">
        <v>47</v>
      </c>
      <c r="AE424" s="10">
        <v>43375</v>
      </c>
      <c r="AF424" s="48"/>
      <c r="AG424" s="10">
        <v>43403</v>
      </c>
      <c r="AH424" s="25">
        <f t="shared" si="74"/>
        <v>28</v>
      </c>
      <c r="AK424" s="27"/>
    </row>
    <row r="425" spans="1:37" s="26" customFormat="1" ht="14.25" customHeight="1" x14ac:dyDescent="0.45">
      <c r="A425" s="28" t="s">
        <v>41</v>
      </c>
      <c r="B425" s="8" t="s">
        <v>146</v>
      </c>
      <c r="C425" s="8" t="s">
        <v>36</v>
      </c>
      <c r="D425" s="9"/>
      <c r="E425" s="9"/>
      <c r="F425" s="10"/>
      <c r="G425" s="11">
        <v>43554</v>
      </c>
      <c r="H425" s="51"/>
      <c r="I425" s="52"/>
      <c r="J425" s="51"/>
      <c r="K425" s="51"/>
      <c r="L425" s="9"/>
      <c r="M425" s="10" t="str">
        <f t="shared" si="67"/>
        <v>Mar-19</v>
      </c>
      <c r="N425" s="10" t="str">
        <f t="shared" si="68"/>
        <v>Jan-00</v>
      </c>
      <c r="O425" s="17" t="s">
        <v>1032</v>
      </c>
      <c r="P425" s="33" t="s">
        <v>1033</v>
      </c>
      <c r="Q425" s="45">
        <v>2347.15</v>
      </c>
      <c r="R425" s="45"/>
      <c r="S425" s="45">
        <f t="shared" si="73"/>
        <v>2347.15</v>
      </c>
      <c r="T425" s="64">
        <f t="shared" si="69"/>
        <v>2581.8650000000002</v>
      </c>
      <c r="U425" s="65">
        <v>3167.3399999999997</v>
      </c>
      <c r="V425" s="65"/>
      <c r="W425" s="21">
        <f t="shared" si="72"/>
        <v>3167.3399999999997</v>
      </c>
      <c r="X425" s="79">
        <f t="shared" si="70"/>
        <v>-820.1899999999996</v>
      </c>
      <c r="Y425" s="80">
        <f t="shared" si="71"/>
        <v>-0.34944081119655734</v>
      </c>
      <c r="Z425" s="20"/>
      <c r="AA425" s="11"/>
      <c r="AB425" s="20"/>
      <c r="AC425" s="24" t="s">
        <v>73</v>
      </c>
      <c r="AD425" s="10" t="s">
        <v>47</v>
      </c>
      <c r="AE425" s="10">
        <v>43375</v>
      </c>
      <c r="AF425" s="48"/>
      <c r="AG425" s="10">
        <v>43404</v>
      </c>
      <c r="AH425" s="25">
        <f t="shared" si="74"/>
        <v>29</v>
      </c>
      <c r="AK425" s="27"/>
    </row>
    <row r="426" spans="1:37" s="26" customFormat="1" ht="14.25" customHeight="1" x14ac:dyDescent="0.45">
      <c r="A426" s="8" t="s">
        <v>805</v>
      </c>
      <c r="B426" s="8" t="s">
        <v>863</v>
      </c>
      <c r="C426" s="8" t="s">
        <v>36</v>
      </c>
      <c r="D426" s="9"/>
      <c r="E426" s="9"/>
      <c r="F426" s="10">
        <v>43528</v>
      </c>
      <c r="G426" s="11">
        <v>43528</v>
      </c>
      <c r="H426" s="51">
        <v>43528</v>
      </c>
      <c r="I426" s="52"/>
      <c r="J426" s="14">
        <f>G426+14</f>
        <v>43542</v>
      </c>
      <c r="K426" s="51">
        <f>J426+14</f>
        <v>43556</v>
      </c>
      <c r="L426" s="9"/>
      <c r="M426" s="10" t="str">
        <f t="shared" si="67"/>
        <v>Mar-19</v>
      </c>
      <c r="N426" s="10" t="str">
        <f t="shared" si="68"/>
        <v>Apr-19</v>
      </c>
      <c r="O426" s="50" t="s">
        <v>1034</v>
      </c>
      <c r="P426" s="50" t="s">
        <v>1035</v>
      </c>
      <c r="Q426" s="45">
        <v>960</v>
      </c>
      <c r="R426" s="45">
        <v>13772.91</v>
      </c>
      <c r="S426" s="45">
        <f t="shared" si="73"/>
        <v>14732.91</v>
      </c>
      <c r="T426" s="64">
        <f t="shared" si="69"/>
        <v>16206.201000000001</v>
      </c>
      <c r="U426" s="65">
        <v>5458.9</v>
      </c>
      <c r="V426" s="65"/>
      <c r="W426" s="21">
        <f t="shared" si="72"/>
        <v>5458.9</v>
      </c>
      <c r="X426" s="20">
        <f t="shared" si="70"/>
        <v>9274.01</v>
      </c>
      <c r="Y426" s="35">
        <f t="shared" si="71"/>
        <v>0.62947577905519003</v>
      </c>
      <c r="Z426" s="20"/>
      <c r="AA426" s="11"/>
      <c r="AB426" s="20"/>
      <c r="AC426" s="24" t="s">
        <v>69</v>
      </c>
      <c r="AD426" s="10">
        <v>43370</v>
      </c>
      <c r="AE426" s="10">
        <v>43375</v>
      </c>
      <c r="AF426" s="63">
        <f>AE426-AD426</f>
        <v>5</v>
      </c>
      <c r="AG426" s="10">
        <v>43404</v>
      </c>
      <c r="AH426" s="25">
        <f t="shared" si="74"/>
        <v>29</v>
      </c>
      <c r="AK426" s="27"/>
    </row>
    <row r="427" spans="1:37" s="26" customFormat="1" ht="14.25" customHeight="1" x14ac:dyDescent="0.45">
      <c r="A427" s="28" t="s">
        <v>41</v>
      </c>
      <c r="B427" s="8" t="s">
        <v>357</v>
      </c>
      <c r="C427" s="8" t="s">
        <v>57</v>
      </c>
      <c r="D427" s="9" t="s">
        <v>1036</v>
      </c>
      <c r="E427" s="9">
        <v>43439</v>
      </c>
      <c r="F427" s="10">
        <v>43395</v>
      </c>
      <c r="G427" s="11">
        <v>43395</v>
      </c>
      <c r="H427" s="15">
        <v>43397</v>
      </c>
      <c r="I427" s="49">
        <v>43431</v>
      </c>
      <c r="J427" s="14">
        <f>G427+14</f>
        <v>43409</v>
      </c>
      <c r="K427" s="14">
        <v>43440</v>
      </c>
      <c r="L427" s="9"/>
      <c r="M427" s="10" t="str">
        <f t="shared" si="67"/>
        <v>Oct-18</v>
      </c>
      <c r="N427" s="10" t="str">
        <f t="shared" si="68"/>
        <v>Dec-18</v>
      </c>
      <c r="O427" s="17" t="s">
        <v>1037</v>
      </c>
      <c r="P427" s="33" t="s">
        <v>1038</v>
      </c>
      <c r="Q427" s="45">
        <v>5878.2</v>
      </c>
      <c r="R427" s="45">
        <v>3447.03</v>
      </c>
      <c r="S427" s="45">
        <f t="shared" si="73"/>
        <v>9325.23</v>
      </c>
      <c r="T427" s="64">
        <f t="shared" si="69"/>
        <v>10257.753000000001</v>
      </c>
      <c r="U427" s="65">
        <v>300</v>
      </c>
      <c r="V427" s="65"/>
      <c r="W427" s="21">
        <f t="shared" si="72"/>
        <v>300</v>
      </c>
      <c r="X427" s="22">
        <f t="shared" si="70"/>
        <v>9025.23</v>
      </c>
      <c r="Y427" s="35">
        <f t="shared" si="71"/>
        <v>0.9678292117191748</v>
      </c>
      <c r="Z427" s="20"/>
      <c r="AA427" s="11"/>
      <c r="AB427" s="20"/>
      <c r="AC427" s="24" t="s">
        <v>73</v>
      </c>
      <c r="AD427" s="10" t="s">
        <v>47</v>
      </c>
      <c r="AE427" s="10">
        <v>43376</v>
      </c>
      <c r="AF427" s="48"/>
      <c r="AG427" s="10">
        <v>43404</v>
      </c>
      <c r="AH427" s="25">
        <f t="shared" si="74"/>
        <v>28</v>
      </c>
      <c r="AK427" s="27"/>
    </row>
    <row r="428" spans="1:37" s="26" customFormat="1" ht="14.25" customHeight="1" x14ac:dyDescent="0.45">
      <c r="A428" s="28" t="s">
        <v>41</v>
      </c>
      <c r="B428" s="8" t="s">
        <v>35</v>
      </c>
      <c r="C428" s="8" t="s">
        <v>43</v>
      </c>
      <c r="D428" s="9" t="s">
        <v>1039</v>
      </c>
      <c r="E428" s="9">
        <v>43530</v>
      </c>
      <c r="F428" s="10">
        <v>43496</v>
      </c>
      <c r="G428" s="10">
        <v>43496</v>
      </c>
      <c r="H428" s="14">
        <v>43496</v>
      </c>
      <c r="I428" s="54">
        <v>43507</v>
      </c>
      <c r="J428" s="14">
        <f>G428+14</f>
        <v>43510</v>
      </c>
      <c r="K428" s="15">
        <v>43529</v>
      </c>
      <c r="L428" s="9"/>
      <c r="M428" s="10" t="str">
        <f t="shared" si="67"/>
        <v>Jan-19</v>
      </c>
      <c r="N428" s="10" t="str">
        <f t="shared" si="68"/>
        <v>Mar-19</v>
      </c>
      <c r="O428" s="17" t="s">
        <v>1040</v>
      </c>
      <c r="P428" s="33" t="s">
        <v>1041</v>
      </c>
      <c r="Q428" s="45">
        <v>1391.35</v>
      </c>
      <c r="R428" s="45">
        <v>376.46</v>
      </c>
      <c r="S428" s="45">
        <f t="shared" si="73"/>
        <v>1767.81</v>
      </c>
      <c r="T428" s="64">
        <f t="shared" si="69"/>
        <v>1944.5910000000001</v>
      </c>
      <c r="U428" s="65"/>
      <c r="V428" s="65"/>
      <c r="W428" s="21">
        <f t="shared" si="72"/>
        <v>0</v>
      </c>
      <c r="X428" s="22">
        <f t="shared" si="70"/>
        <v>1767.81</v>
      </c>
      <c r="Y428" s="35">
        <f t="shared" si="71"/>
        <v>1</v>
      </c>
      <c r="Z428" s="20"/>
      <c r="AA428" s="11"/>
      <c r="AB428" s="20"/>
      <c r="AC428" s="24" t="s">
        <v>73</v>
      </c>
      <c r="AD428" s="10" t="s">
        <v>47</v>
      </c>
      <c r="AE428" s="10">
        <v>43377</v>
      </c>
      <c r="AF428" s="48"/>
      <c r="AG428" s="10">
        <v>43405</v>
      </c>
      <c r="AH428" s="25">
        <f t="shared" si="74"/>
        <v>28</v>
      </c>
      <c r="AK428" s="27"/>
    </row>
    <row r="429" spans="1:37" s="26" customFormat="1" ht="14.25" customHeight="1" x14ac:dyDescent="0.45">
      <c r="A429" s="28" t="s">
        <v>41</v>
      </c>
      <c r="B429" s="8" t="s">
        <v>297</v>
      </c>
      <c r="C429" s="28" t="s">
        <v>43</v>
      </c>
      <c r="D429" s="9"/>
      <c r="E429" s="9"/>
      <c r="F429" s="10"/>
      <c r="G429" s="11">
        <v>43524</v>
      </c>
      <c r="H429" s="51"/>
      <c r="I429" s="52"/>
      <c r="J429" s="51"/>
      <c r="K429" s="51"/>
      <c r="L429" s="9"/>
      <c r="M429" s="10" t="str">
        <f t="shared" si="67"/>
        <v>Feb-19</v>
      </c>
      <c r="N429" s="10" t="str">
        <f t="shared" si="68"/>
        <v>Jan-00</v>
      </c>
      <c r="O429" s="17" t="s">
        <v>1042</v>
      </c>
      <c r="P429" s="33" t="s">
        <v>960</v>
      </c>
      <c r="Q429" s="45">
        <v>593.24</v>
      </c>
      <c r="R429" s="45"/>
      <c r="S429" s="45">
        <f t="shared" si="73"/>
        <v>593.24</v>
      </c>
      <c r="T429" s="64">
        <f t="shared" si="69"/>
        <v>652.56400000000008</v>
      </c>
      <c r="U429" s="65"/>
      <c r="V429" s="65"/>
      <c r="W429" s="21">
        <f t="shared" si="72"/>
        <v>0</v>
      </c>
      <c r="X429" s="22">
        <f t="shared" si="70"/>
        <v>593.24</v>
      </c>
      <c r="Y429" s="35">
        <f t="shared" si="71"/>
        <v>1</v>
      </c>
      <c r="Z429" s="20"/>
      <c r="AA429" s="11"/>
      <c r="AB429" s="20"/>
      <c r="AC429" s="24" t="s">
        <v>73</v>
      </c>
      <c r="AD429" s="10" t="s">
        <v>47</v>
      </c>
      <c r="AE429" s="10">
        <v>43382</v>
      </c>
      <c r="AF429" s="48"/>
      <c r="AG429" s="10">
        <v>43493</v>
      </c>
      <c r="AH429" s="25">
        <f t="shared" si="74"/>
        <v>111</v>
      </c>
      <c r="AK429" s="27"/>
    </row>
    <row r="430" spans="1:37" s="26" customFormat="1" ht="14.25" customHeight="1" x14ac:dyDescent="0.45">
      <c r="A430" s="28" t="s">
        <v>41</v>
      </c>
      <c r="B430" s="8" t="s">
        <v>65</v>
      </c>
      <c r="C430" s="8" t="s">
        <v>57</v>
      </c>
      <c r="D430" s="9" t="s">
        <v>1043</v>
      </c>
      <c r="E430" s="9">
        <v>43483</v>
      </c>
      <c r="F430" s="10">
        <v>43424</v>
      </c>
      <c r="G430" s="10">
        <v>43424</v>
      </c>
      <c r="H430" s="15">
        <v>43425</v>
      </c>
      <c r="I430" s="49">
        <v>43455</v>
      </c>
      <c r="J430" s="14">
        <f>G430+14</f>
        <v>43438</v>
      </c>
      <c r="K430" s="15">
        <v>43487</v>
      </c>
      <c r="L430" s="9"/>
      <c r="M430" s="10" t="str">
        <f t="shared" si="67"/>
        <v>Nov-18</v>
      </c>
      <c r="N430" s="10" t="str">
        <f t="shared" si="68"/>
        <v>Jan-19</v>
      </c>
      <c r="O430" s="17" t="s">
        <v>1044</v>
      </c>
      <c r="P430" s="33" t="s">
        <v>68</v>
      </c>
      <c r="Q430" s="45">
        <v>1946.85</v>
      </c>
      <c r="R430" s="45">
        <v>3741.1960000000004</v>
      </c>
      <c r="S430" s="45">
        <f t="shared" si="73"/>
        <v>5688.0460000000003</v>
      </c>
      <c r="T430" s="64">
        <f t="shared" si="69"/>
        <v>6256.8506000000007</v>
      </c>
      <c r="U430" s="65">
        <v>1912.6</v>
      </c>
      <c r="V430" s="65"/>
      <c r="W430" s="21">
        <f t="shared" si="72"/>
        <v>1912.6</v>
      </c>
      <c r="X430" s="22">
        <f t="shared" si="70"/>
        <v>3775.4460000000004</v>
      </c>
      <c r="Y430" s="35">
        <f t="shared" si="71"/>
        <v>0.66375096122640365</v>
      </c>
      <c r="Z430" s="20"/>
      <c r="AA430" s="11"/>
      <c r="AB430" s="20"/>
      <c r="AC430" s="24" t="s">
        <v>73</v>
      </c>
      <c r="AD430" s="10" t="s">
        <v>47</v>
      </c>
      <c r="AE430" s="10">
        <v>43384</v>
      </c>
      <c r="AF430" s="48"/>
      <c r="AG430" s="10">
        <v>43475</v>
      </c>
      <c r="AH430" s="25">
        <f t="shared" si="74"/>
        <v>91</v>
      </c>
      <c r="AK430" s="27"/>
    </row>
    <row r="431" spans="1:37" s="26" customFormat="1" ht="14.25" customHeight="1" x14ac:dyDescent="0.45">
      <c r="A431" s="28" t="s">
        <v>41</v>
      </c>
      <c r="B431" s="8" t="s">
        <v>100</v>
      </c>
      <c r="C431" s="8" t="s">
        <v>57</v>
      </c>
      <c r="D431" s="9"/>
      <c r="E431" s="9"/>
      <c r="F431" s="10"/>
      <c r="G431" s="11">
        <v>43554</v>
      </c>
      <c r="H431" s="51"/>
      <c r="I431" s="52"/>
      <c r="J431" s="51"/>
      <c r="K431" s="51"/>
      <c r="L431" s="9"/>
      <c r="M431" s="10" t="str">
        <f t="shared" si="67"/>
        <v>Mar-19</v>
      </c>
      <c r="N431" s="10" t="str">
        <f t="shared" si="68"/>
        <v>Jan-00</v>
      </c>
      <c r="O431" s="17" t="s">
        <v>1045</v>
      </c>
      <c r="P431" s="33" t="s">
        <v>1046</v>
      </c>
      <c r="Q431" s="45">
        <v>2977.15</v>
      </c>
      <c r="R431" s="45"/>
      <c r="S431" s="45">
        <f t="shared" si="73"/>
        <v>2977.15</v>
      </c>
      <c r="T431" s="64">
        <f t="shared" si="69"/>
        <v>3274.8650000000002</v>
      </c>
      <c r="U431" s="65"/>
      <c r="V431" s="65"/>
      <c r="W431" s="21">
        <f t="shared" si="72"/>
        <v>0</v>
      </c>
      <c r="X431" s="22">
        <f t="shared" si="70"/>
        <v>2977.15</v>
      </c>
      <c r="Y431" s="35">
        <f t="shared" si="71"/>
        <v>1</v>
      </c>
      <c r="Z431" s="20"/>
      <c r="AA431" s="11"/>
      <c r="AB431" s="20"/>
      <c r="AC431" s="24" t="s">
        <v>73</v>
      </c>
      <c r="AD431" s="10" t="s">
        <v>47</v>
      </c>
      <c r="AE431" s="10">
        <v>43382</v>
      </c>
      <c r="AF431" s="48"/>
      <c r="AG431" s="10">
        <v>43423</v>
      </c>
      <c r="AH431" s="25">
        <f t="shared" si="74"/>
        <v>41</v>
      </c>
      <c r="AK431" s="27"/>
    </row>
    <row r="432" spans="1:37" s="26" customFormat="1" ht="14.25" customHeight="1" x14ac:dyDescent="0.45">
      <c r="A432" s="28" t="s">
        <v>41</v>
      </c>
      <c r="B432" s="8" t="s">
        <v>100</v>
      </c>
      <c r="C432" s="8" t="s">
        <v>57</v>
      </c>
      <c r="D432" s="9"/>
      <c r="E432" s="9"/>
      <c r="F432" s="10"/>
      <c r="G432" s="10">
        <v>43585</v>
      </c>
      <c r="H432" s="51"/>
      <c r="I432" s="52"/>
      <c r="J432" s="51"/>
      <c r="K432" s="51"/>
      <c r="L432" s="9"/>
      <c r="M432" s="10" t="str">
        <f t="shared" si="67"/>
        <v>Apr-19</v>
      </c>
      <c r="N432" s="10" t="str">
        <f t="shared" si="68"/>
        <v>Jan-00</v>
      </c>
      <c r="O432" s="17" t="s">
        <v>1047</v>
      </c>
      <c r="P432" s="33" t="s">
        <v>464</v>
      </c>
      <c r="Q432" s="45">
        <v>1592.08</v>
      </c>
      <c r="R432" s="45"/>
      <c r="S432" s="45">
        <f t="shared" si="73"/>
        <v>1592.08</v>
      </c>
      <c r="T432" s="64">
        <f t="shared" si="69"/>
        <v>1751.288</v>
      </c>
      <c r="U432" s="65"/>
      <c r="V432" s="65"/>
      <c r="W432" s="21">
        <f t="shared" si="72"/>
        <v>0</v>
      </c>
      <c r="X432" s="22">
        <f t="shared" si="70"/>
        <v>1592.08</v>
      </c>
      <c r="Y432" s="35">
        <f t="shared" si="71"/>
        <v>1</v>
      </c>
      <c r="Z432" s="20"/>
      <c r="AA432" s="11"/>
      <c r="AB432" s="20"/>
      <c r="AC432" s="24" t="s">
        <v>73</v>
      </c>
      <c r="AD432" s="10" t="s">
        <v>47</v>
      </c>
      <c r="AE432" s="10">
        <v>43382</v>
      </c>
      <c r="AF432" s="48"/>
      <c r="AG432" s="10">
        <v>43462</v>
      </c>
      <c r="AH432" s="25">
        <f t="shared" si="74"/>
        <v>80</v>
      </c>
      <c r="AK432" s="27"/>
    </row>
    <row r="433" spans="1:37" s="26" customFormat="1" ht="14.25" customHeight="1" x14ac:dyDescent="0.45">
      <c r="A433" s="28" t="s">
        <v>41</v>
      </c>
      <c r="B433" s="8" t="s">
        <v>35</v>
      </c>
      <c r="C433" s="8" t="s">
        <v>43</v>
      </c>
      <c r="D433" s="9" t="s">
        <v>1048</v>
      </c>
      <c r="E433" s="9">
        <v>43529</v>
      </c>
      <c r="F433" s="10">
        <v>43496</v>
      </c>
      <c r="G433" s="10">
        <v>43496</v>
      </c>
      <c r="H433" s="14">
        <v>43496</v>
      </c>
      <c r="I433" s="54">
        <v>43507</v>
      </c>
      <c r="J433" s="14">
        <f>G433+14</f>
        <v>43510</v>
      </c>
      <c r="K433" s="14">
        <f>J433+14</f>
        <v>43524</v>
      </c>
      <c r="L433" s="9"/>
      <c r="M433" s="10" t="str">
        <f t="shared" si="67"/>
        <v>Jan-19</v>
      </c>
      <c r="N433" s="10" t="str">
        <f t="shared" si="68"/>
        <v>Feb-19</v>
      </c>
      <c r="O433" s="17" t="s">
        <v>1049</v>
      </c>
      <c r="P433" s="33" t="s">
        <v>1041</v>
      </c>
      <c r="Q433" s="45">
        <v>669.27</v>
      </c>
      <c r="R433" s="45">
        <v>225.95</v>
      </c>
      <c r="S433" s="45">
        <f t="shared" si="73"/>
        <v>895.22</v>
      </c>
      <c r="T433" s="64">
        <f t="shared" si="69"/>
        <v>984.74200000000008</v>
      </c>
      <c r="U433" s="65"/>
      <c r="V433" s="65"/>
      <c r="W433" s="21">
        <f t="shared" si="72"/>
        <v>0</v>
      </c>
      <c r="X433" s="22">
        <f t="shared" si="70"/>
        <v>895.22</v>
      </c>
      <c r="Y433" s="35">
        <f t="shared" si="71"/>
        <v>1</v>
      </c>
      <c r="Z433" s="20"/>
      <c r="AA433" s="11"/>
      <c r="AB433" s="20"/>
      <c r="AC433" s="24" t="s">
        <v>73</v>
      </c>
      <c r="AD433" s="10" t="s">
        <v>47</v>
      </c>
      <c r="AE433" s="10">
        <v>43382</v>
      </c>
      <c r="AF433" s="48"/>
      <c r="AG433" s="10">
        <v>43482</v>
      </c>
      <c r="AH433" s="25">
        <f t="shared" si="74"/>
        <v>100</v>
      </c>
      <c r="AK433" s="27"/>
    </row>
    <row r="434" spans="1:37" s="26" customFormat="1" ht="14.25" customHeight="1" x14ac:dyDescent="0.45">
      <c r="A434" s="28" t="s">
        <v>41</v>
      </c>
      <c r="B434" s="8" t="s">
        <v>146</v>
      </c>
      <c r="C434" s="8" t="s">
        <v>36</v>
      </c>
      <c r="D434" s="9"/>
      <c r="E434" s="9"/>
      <c r="F434" s="10">
        <v>43523</v>
      </c>
      <c r="G434" s="11">
        <v>43523</v>
      </c>
      <c r="H434" s="140">
        <v>43523</v>
      </c>
      <c r="I434" s="54">
        <v>43536</v>
      </c>
      <c r="J434" s="51">
        <f>G434+14</f>
        <v>43537</v>
      </c>
      <c r="K434" s="51">
        <f>J434+14</f>
        <v>43551</v>
      </c>
      <c r="L434" s="9"/>
      <c r="M434" s="10" t="str">
        <f t="shared" si="67"/>
        <v>Feb-19</v>
      </c>
      <c r="N434" s="10" t="str">
        <f t="shared" si="68"/>
        <v>Mar-19</v>
      </c>
      <c r="O434" s="17" t="s">
        <v>1050</v>
      </c>
      <c r="P434" s="33" t="s">
        <v>1051</v>
      </c>
      <c r="Q434" s="45">
        <v>3629.09</v>
      </c>
      <c r="R434" s="45">
        <v>15596.83</v>
      </c>
      <c r="S434" s="45">
        <f t="shared" si="73"/>
        <v>19225.919999999998</v>
      </c>
      <c r="T434" s="64">
        <f t="shared" si="69"/>
        <v>21148.511999999999</v>
      </c>
      <c r="U434" s="65">
        <v>2011.3</v>
      </c>
      <c r="V434" s="65"/>
      <c r="W434" s="21">
        <f t="shared" si="72"/>
        <v>2011.3</v>
      </c>
      <c r="X434" s="22">
        <f t="shared" si="70"/>
        <v>17214.62</v>
      </c>
      <c r="Y434" s="35">
        <f t="shared" si="71"/>
        <v>0.89538602053893912</v>
      </c>
      <c r="Z434" s="20"/>
      <c r="AA434" s="11"/>
      <c r="AB434" s="20"/>
      <c r="AC434" s="24" t="s">
        <v>73</v>
      </c>
      <c r="AD434" s="10" t="s">
        <v>47</v>
      </c>
      <c r="AE434" s="10">
        <v>43382</v>
      </c>
      <c r="AF434" s="48"/>
      <c r="AG434" s="10">
        <v>43445</v>
      </c>
      <c r="AH434" s="25">
        <f t="shared" si="74"/>
        <v>63</v>
      </c>
      <c r="AK434" s="27"/>
    </row>
    <row r="435" spans="1:37" s="26" customFormat="1" ht="14.25" customHeight="1" x14ac:dyDescent="0.45">
      <c r="A435" s="8" t="s">
        <v>774</v>
      </c>
      <c r="B435" s="8" t="s">
        <v>42</v>
      </c>
      <c r="C435" s="8" t="s">
        <v>36</v>
      </c>
      <c r="D435" s="9"/>
      <c r="E435" s="9"/>
      <c r="F435" s="10"/>
      <c r="G435" s="11">
        <v>43524</v>
      </c>
      <c r="H435" s="51"/>
      <c r="I435" s="52"/>
      <c r="J435" s="51"/>
      <c r="K435" s="51"/>
      <c r="L435" s="9"/>
      <c r="M435" s="10" t="str">
        <f t="shared" si="67"/>
        <v>Feb-19</v>
      </c>
      <c r="N435" s="10" t="str">
        <f t="shared" si="68"/>
        <v>Jan-00</v>
      </c>
      <c r="O435" s="113" t="s">
        <v>1052</v>
      </c>
      <c r="P435" s="114" t="s">
        <v>1020</v>
      </c>
      <c r="Q435" s="45">
        <f>62672.46-Q436</f>
        <v>43870.722000000002</v>
      </c>
      <c r="R435" s="45"/>
      <c r="S435" s="45">
        <f t="shared" si="73"/>
        <v>43870.722000000002</v>
      </c>
      <c r="T435" s="64">
        <f t="shared" si="69"/>
        <v>48257.794200000004</v>
      </c>
      <c r="U435" s="65">
        <v>95465.67</v>
      </c>
      <c r="V435" s="65"/>
      <c r="W435" s="21">
        <f t="shared" si="72"/>
        <v>95465.67</v>
      </c>
      <c r="X435" s="79">
        <f t="shared" si="70"/>
        <v>-51594.947999999997</v>
      </c>
      <c r="Y435" s="80">
        <f t="shared" si="71"/>
        <v>-1.1760679024156473</v>
      </c>
      <c r="Z435" s="20"/>
      <c r="AA435" s="11"/>
      <c r="AB435" s="20"/>
      <c r="AC435" s="24" t="s">
        <v>69</v>
      </c>
      <c r="AD435" s="10" t="s">
        <v>47</v>
      </c>
      <c r="AE435" s="10">
        <v>43383</v>
      </c>
      <c r="AF435" s="48"/>
      <c r="AG435" s="10">
        <v>43462</v>
      </c>
      <c r="AH435" s="25">
        <f t="shared" si="74"/>
        <v>79</v>
      </c>
      <c r="AK435" s="27"/>
    </row>
    <row r="436" spans="1:37" s="26" customFormat="1" ht="14.25" customHeight="1" x14ac:dyDescent="0.45">
      <c r="A436" s="8" t="s">
        <v>546</v>
      </c>
      <c r="B436" s="8" t="s">
        <v>35</v>
      </c>
      <c r="C436" s="8" t="s">
        <v>51</v>
      </c>
      <c r="D436" s="9" t="s">
        <v>1053</v>
      </c>
      <c r="E436" s="9">
        <v>43388</v>
      </c>
      <c r="F436" s="10">
        <v>43384</v>
      </c>
      <c r="G436" s="11">
        <v>43384</v>
      </c>
      <c r="H436" s="67"/>
      <c r="I436" s="68"/>
      <c r="J436" s="67"/>
      <c r="K436" s="14">
        <v>43388</v>
      </c>
      <c r="L436" s="9"/>
      <c r="M436" s="10" t="str">
        <f t="shared" si="67"/>
        <v>Oct-18</v>
      </c>
      <c r="N436" s="10" t="str">
        <f t="shared" si="68"/>
        <v>Oct-18</v>
      </c>
      <c r="O436" s="113" t="s">
        <v>1052</v>
      </c>
      <c r="P436" s="114" t="s">
        <v>1020</v>
      </c>
      <c r="Q436" s="45">
        <v>18801.737999999998</v>
      </c>
      <c r="R436" s="73"/>
      <c r="S436" s="45">
        <f t="shared" si="73"/>
        <v>18801.737999999998</v>
      </c>
      <c r="T436" s="64">
        <f t="shared" si="69"/>
        <v>20681.911799999998</v>
      </c>
      <c r="U436" s="65"/>
      <c r="V436" s="65"/>
      <c r="W436" s="21">
        <f t="shared" si="72"/>
        <v>0</v>
      </c>
      <c r="X436" s="22">
        <f t="shared" si="70"/>
        <v>18801.737999999998</v>
      </c>
      <c r="Y436" s="35">
        <f t="shared" si="71"/>
        <v>1</v>
      </c>
      <c r="Z436" s="20"/>
      <c r="AA436" s="11"/>
      <c r="AB436" s="20"/>
      <c r="AC436" s="24" t="s">
        <v>69</v>
      </c>
      <c r="AD436" s="10" t="s">
        <v>47</v>
      </c>
      <c r="AE436" s="10">
        <v>43383</v>
      </c>
      <c r="AF436" s="48"/>
      <c r="AG436" s="10">
        <v>43462</v>
      </c>
      <c r="AH436" s="25">
        <f t="shared" si="74"/>
        <v>79</v>
      </c>
      <c r="AK436" s="27"/>
    </row>
    <row r="437" spans="1:37" s="26" customFormat="1" ht="14.25" customHeight="1" x14ac:dyDescent="0.45">
      <c r="A437" s="28" t="s">
        <v>41</v>
      </c>
      <c r="B437" s="8" t="s">
        <v>100</v>
      </c>
      <c r="C437" s="8" t="s">
        <v>57</v>
      </c>
      <c r="D437" s="9" t="s">
        <v>1054</v>
      </c>
      <c r="E437" s="9">
        <v>43472</v>
      </c>
      <c r="F437" s="10">
        <v>43434</v>
      </c>
      <c r="G437" s="11">
        <v>43434</v>
      </c>
      <c r="H437" s="14">
        <v>43464</v>
      </c>
      <c r="I437" s="54">
        <v>43444</v>
      </c>
      <c r="J437" s="14">
        <f t="shared" ref="J437:J442" si="76">G437+14</f>
        <v>43448</v>
      </c>
      <c r="K437" s="77">
        <v>43473</v>
      </c>
      <c r="L437" s="9"/>
      <c r="M437" s="10" t="str">
        <f t="shared" si="67"/>
        <v>Nov-18</v>
      </c>
      <c r="N437" s="10" t="str">
        <f t="shared" si="68"/>
        <v>Jan-19</v>
      </c>
      <c r="O437" s="17" t="s">
        <v>1055</v>
      </c>
      <c r="P437" s="33" t="s">
        <v>1056</v>
      </c>
      <c r="Q437" s="45">
        <v>2926.47</v>
      </c>
      <c r="R437" s="45">
        <v>2282.6</v>
      </c>
      <c r="S437" s="45">
        <f t="shared" si="73"/>
        <v>5209.07</v>
      </c>
      <c r="T437" s="64">
        <f t="shared" si="69"/>
        <v>5729.9769999999999</v>
      </c>
      <c r="U437" s="65">
        <v>2538</v>
      </c>
      <c r="V437" s="65"/>
      <c r="W437" s="21">
        <f t="shared" si="72"/>
        <v>2538</v>
      </c>
      <c r="X437" s="22">
        <f t="shared" si="70"/>
        <v>2671.0699999999997</v>
      </c>
      <c r="Y437" s="35">
        <f t="shared" si="71"/>
        <v>0.51277291339912878</v>
      </c>
      <c r="Z437" s="20"/>
      <c r="AA437" s="11"/>
      <c r="AB437" s="20"/>
      <c r="AC437" s="24" t="s">
        <v>73</v>
      </c>
      <c r="AD437" s="10" t="s">
        <v>47</v>
      </c>
      <c r="AE437" s="10">
        <v>43384</v>
      </c>
      <c r="AF437" s="48"/>
      <c r="AG437" s="10">
        <v>43473</v>
      </c>
      <c r="AH437" s="25">
        <f t="shared" si="74"/>
        <v>89</v>
      </c>
      <c r="AK437" s="27"/>
    </row>
    <row r="438" spans="1:37" s="26" customFormat="1" ht="14.25" customHeight="1" x14ac:dyDescent="0.45">
      <c r="A438" s="28" t="s">
        <v>41</v>
      </c>
      <c r="B438" s="8" t="s">
        <v>35</v>
      </c>
      <c r="C438" s="8" t="s">
        <v>43</v>
      </c>
      <c r="D438" s="9" t="s">
        <v>1057</v>
      </c>
      <c r="E438" s="9">
        <v>43472</v>
      </c>
      <c r="F438" s="10">
        <v>43432</v>
      </c>
      <c r="G438" s="11">
        <v>43433</v>
      </c>
      <c r="H438" s="67"/>
      <c r="I438" s="68"/>
      <c r="J438" s="14">
        <f t="shared" si="76"/>
        <v>43447</v>
      </c>
      <c r="K438" s="15">
        <v>43473</v>
      </c>
      <c r="L438" s="9"/>
      <c r="M438" s="10" t="str">
        <f t="shared" si="67"/>
        <v>Nov-18</v>
      </c>
      <c r="N438" s="10" t="str">
        <f t="shared" si="68"/>
        <v>Jan-19</v>
      </c>
      <c r="O438" s="17" t="s">
        <v>1058</v>
      </c>
      <c r="P438" s="33" t="s">
        <v>89</v>
      </c>
      <c r="Q438" s="45">
        <v>772.06</v>
      </c>
      <c r="R438" s="73"/>
      <c r="S438" s="45">
        <f t="shared" si="73"/>
        <v>772.06</v>
      </c>
      <c r="T438" s="64">
        <f t="shared" si="69"/>
        <v>849.26599999999996</v>
      </c>
      <c r="U438" s="65"/>
      <c r="V438" s="65"/>
      <c r="W438" s="21">
        <f t="shared" si="72"/>
        <v>0</v>
      </c>
      <c r="X438" s="22">
        <f t="shared" si="70"/>
        <v>772.06</v>
      </c>
      <c r="Y438" s="35">
        <f t="shared" si="71"/>
        <v>1</v>
      </c>
      <c r="Z438" s="20"/>
      <c r="AA438" s="11"/>
      <c r="AB438" s="20"/>
      <c r="AC438" s="24" t="s">
        <v>73</v>
      </c>
      <c r="AD438" s="10" t="s">
        <v>47</v>
      </c>
      <c r="AE438" s="10">
        <v>43384</v>
      </c>
      <c r="AF438" s="48"/>
      <c r="AG438" s="10">
        <v>43473</v>
      </c>
      <c r="AH438" s="25">
        <f t="shared" si="74"/>
        <v>89</v>
      </c>
      <c r="AK438" s="27"/>
    </row>
    <row r="439" spans="1:37" s="26" customFormat="1" ht="14.25" customHeight="1" x14ac:dyDescent="0.45">
      <c r="A439" s="28" t="s">
        <v>41</v>
      </c>
      <c r="B439" s="8" t="s">
        <v>100</v>
      </c>
      <c r="C439" s="8" t="s">
        <v>57</v>
      </c>
      <c r="D439" s="9" t="s">
        <v>1059</v>
      </c>
      <c r="E439" s="9">
        <v>43483</v>
      </c>
      <c r="F439" s="10">
        <v>43432</v>
      </c>
      <c r="G439" s="11">
        <v>43432</v>
      </c>
      <c r="H439" s="15">
        <v>43433</v>
      </c>
      <c r="I439" s="49">
        <v>43455</v>
      </c>
      <c r="J439" s="14">
        <f t="shared" si="76"/>
        <v>43446</v>
      </c>
      <c r="K439" s="15">
        <v>43487</v>
      </c>
      <c r="L439" s="9"/>
      <c r="M439" s="10" t="str">
        <f t="shared" si="67"/>
        <v>Nov-18</v>
      </c>
      <c r="N439" s="10" t="str">
        <f t="shared" si="68"/>
        <v>Jan-19</v>
      </c>
      <c r="O439" s="17" t="s">
        <v>1060</v>
      </c>
      <c r="P439" s="33" t="s">
        <v>1061</v>
      </c>
      <c r="Q439" s="45">
        <v>2351.63</v>
      </c>
      <c r="R439" s="45">
        <v>4251.26</v>
      </c>
      <c r="S439" s="45">
        <f t="shared" si="73"/>
        <v>6602.89</v>
      </c>
      <c r="T439" s="64">
        <f t="shared" si="69"/>
        <v>7263.179000000001</v>
      </c>
      <c r="U439" s="65">
        <v>2911.43</v>
      </c>
      <c r="V439" s="65">
        <v>657.2995199999998</v>
      </c>
      <c r="W439" s="21">
        <f t="shared" si="72"/>
        <v>3568.7295199999999</v>
      </c>
      <c r="X439" s="22">
        <f t="shared" si="70"/>
        <v>3034.1604800000005</v>
      </c>
      <c r="Y439" s="35">
        <f t="shared" si="71"/>
        <v>0.45952007075689588</v>
      </c>
      <c r="Z439" s="20"/>
      <c r="AA439" s="11"/>
      <c r="AB439" s="20"/>
      <c r="AC439" s="24" t="s">
        <v>73</v>
      </c>
      <c r="AD439" s="10" t="s">
        <v>47</v>
      </c>
      <c r="AE439" s="10">
        <v>43402</v>
      </c>
      <c r="AF439" s="48"/>
      <c r="AG439" s="10">
        <v>43480</v>
      </c>
      <c r="AH439" s="25">
        <f t="shared" si="74"/>
        <v>78</v>
      </c>
      <c r="AK439" s="27"/>
    </row>
    <row r="440" spans="1:37" s="26" customFormat="1" ht="14.25" customHeight="1" x14ac:dyDescent="0.45">
      <c r="A440" s="8" t="s">
        <v>34</v>
      </c>
      <c r="B440" s="8" t="s">
        <v>129</v>
      </c>
      <c r="C440" s="8" t="s">
        <v>57</v>
      </c>
      <c r="D440" s="9" t="s">
        <v>1062</v>
      </c>
      <c r="E440" s="9">
        <v>43439</v>
      </c>
      <c r="F440" s="10">
        <v>43412</v>
      </c>
      <c r="G440" s="10">
        <v>43412</v>
      </c>
      <c r="H440" s="14">
        <v>43418</v>
      </c>
      <c r="I440" s="54">
        <v>43427</v>
      </c>
      <c r="J440" s="77">
        <f t="shared" si="76"/>
        <v>43426</v>
      </c>
      <c r="K440" s="14">
        <v>43438</v>
      </c>
      <c r="L440" s="9"/>
      <c r="M440" s="10" t="str">
        <f t="shared" si="67"/>
        <v>Nov-18</v>
      </c>
      <c r="N440" s="10" t="str">
        <f t="shared" si="68"/>
        <v>Dec-18</v>
      </c>
      <c r="O440" s="17" t="s">
        <v>1063</v>
      </c>
      <c r="P440" s="33" t="s">
        <v>1031</v>
      </c>
      <c r="Q440" s="45">
        <v>6488.73</v>
      </c>
      <c r="R440" s="45">
        <v>785.91</v>
      </c>
      <c r="S440" s="45">
        <f t="shared" si="73"/>
        <v>7274.6399999999994</v>
      </c>
      <c r="T440" s="64">
        <f t="shared" si="69"/>
        <v>8002.1040000000003</v>
      </c>
      <c r="U440" s="65">
        <v>3333.25</v>
      </c>
      <c r="V440" s="65"/>
      <c r="W440" s="21">
        <f t="shared" si="72"/>
        <v>3333.25</v>
      </c>
      <c r="X440" s="22">
        <f t="shared" si="70"/>
        <v>3941.3899999999994</v>
      </c>
      <c r="Y440" s="35">
        <f t="shared" si="71"/>
        <v>0.5417986319597945</v>
      </c>
      <c r="Z440" s="20"/>
      <c r="AA440" s="11"/>
      <c r="AB440" s="20"/>
      <c r="AC440" s="24" t="s">
        <v>69</v>
      </c>
      <c r="AD440" s="10">
        <v>43383</v>
      </c>
      <c r="AE440" s="10">
        <v>43384</v>
      </c>
      <c r="AF440" s="63">
        <f>AE440-AD440</f>
        <v>1</v>
      </c>
      <c r="AG440" s="10">
        <v>43466</v>
      </c>
      <c r="AH440" s="25">
        <f t="shared" si="74"/>
        <v>82</v>
      </c>
      <c r="AK440" s="27"/>
    </row>
    <row r="441" spans="1:37" s="26" customFormat="1" ht="14.25" customHeight="1" x14ac:dyDescent="0.45">
      <c r="A441" s="8" t="s">
        <v>41</v>
      </c>
      <c r="B441" s="8" t="s">
        <v>35</v>
      </c>
      <c r="C441" s="8" t="s">
        <v>43</v>
      </c>
      <c r="D441" s="9" t="s">
        <v>1064</v>
      </c>
      <c r="E441" s="9">
        <v>43483</v>
      </c>
      <c r="F441" s="9">
        <v>43425</v>
      </c>
      <c r="G441" s="10">
        <v>43426</v>
      </c>
      <c r="H441" s="14">
        <v>43441</v>
      </c>
      <c r="I441" s="54">
        <v>43455</v>
      </c>
      <c r="J441" s="14">
        <f t="shared" si="76"/>
        <v>43440</v>
      </c>
      <c r="K441" s="15">
        <v>43487</v>
      </c>
      <c r="L441" s="9"/>
      <c r="M441" s="10" t="str">
        <f t="shared" si="67"/>
        <v>Nov-18</v>
      </c>
      <c r="N441" s="10" t="str">
        <f t="shared" si="68"/>
        <v>Jan-19</v>
      </c>
      <c r="O441" s="17" t="s">
        <v>1065</v>
      </c>
      <c r="P441" s="33" t="s">
        <v>520</v>
      </c>
      <c r="Q441" s="45">
        <v>1357.13</v>
      </c>
      <c r="R441" s="45">
        <v>5471.92</v>
      </c>
      <c r="S441" s="45">
        <f t="shared" si="73"/>
        <v>6829.05</v>
      </c>
      <c r="T441" s="64">
        <f t="shared" si="69"/>
        <v>7511.9550000000008</v>
      </c>
      <c r="U441" s="65">
        <v>1761.8000000000002</v>
      </c>
      <c r="V441" s="65"/>
      <c r="W441" s="21">
        <f t="shared" si="72"/>
        <v>1761.8000000000002</v>
      </c>
      <c r="X441" s="22">
        <f t="shared" si="70"/>
        <v>5067.25</v>
      </c>
      <c r="Y441" s="35">
        <f t="shared" si="71"/>
        <v>0.74201389651562077</v>
      </c>
      <c r="Z441" s="20"/>
      <c r="AA441" s="11"/>
      <c r="AB441" s="20"/>
      <c r="AC441" s="24" t="s">
        <v>73</v>
      </c>
      <c r="AD441" s="10" t="s">
        <v>47</v>
      </c>
      <c r="AE441" s="10">
        <v>43385</v>
      </c>
      <c r="AF441" s="48"/>
      <c r="AG441" s="10">
        <v>43476</v>
      </c>
      <c r="AH441" s="25">
        <f t="shared" si="74"/>
        <v>91</v>
      </c>
      <c r="AK441" s="27"/>
    </row>
    <row r="442" spans="1:37" s="26" customFormat="1" ht="14.25" customHeight="1" x14ac:dyDescent="0.45">
      <c r="A442" s="8" t="s">
        <v>41</v>
      </c>
      <c r="B442" s="8" t="s">
        <v>35</v>
      </c>
      <c r="C442" s="8" t="s">
        <v>43</v>
      </c>
      <c r="D442" s="9" t="s">
        <v>1066</v>
      </c>
      <c r="E442" s="9">
        <v>43511</v>
      </c>
      <c r="F442" s="10">
        <v>43439</v>
      </c>
      <c r="G442" s="11">
        <v>43439</v>
      </c>
      <c r="H442" s="15">
        <v>43451</v>
      </c>
      <c r="I442" s="49">
        <v>43495</v>
      </c>
      <c r="J442" s="14">
        <f t="shared" si="76"/>
        <v>43453</v>
      </c>
      <c r="K442" s="15">
        <f>I442+14</f>
        <v>43509</v>
      </c>
      <c r="L442" s="9"/>
      <c r="M442" s="10" t="str">
        <f t="shared" si="67"/>
        <v>Dec-18</v>
      </c>
      <c r="N442" s="10" t="str">
        <f t="shared" si="68"/>
        <v>Feb-19</v>
      </c>
      <c r="O442" s="17" t="s">
        <v>1067</v>
      </c>
      <c r="P442" s="33" t="s">
        <v>534</v>
      </c>
      <c r="Q442" s="45">
        <v>2319.7800000000002</v>
      </c>
      <c r="R442" s="45">
        <v>13164.050000000001</v>
      </c>
      <c r="S442" s="45">
        <f t="shared" si="73"/>
        <v>15483.830000000002</v>
      </c>
      <c r="T442" s="64">
        <f t="shared" si="69"/>
        <v>17032.213000000003</v>
      </c>
      <c r="U442" s="65">
        <v>3184.85</v>
      </c>
      <c r="V442" s="65"/>
      <c r="W442" s="78">
        <f t="shared" si="72"/>
        <v>3184.85</v>
      </c>
      <c r="X442" s="22">
        <f t="shared" si="70"/>
        <v>12298.980000000001</v>
      </c>
      <c r="Y442" s="35">
        <f t="shared" si="71"/>
        <v>0.79431122661512044</v>
      </c>
      <c r="Z442" s="20"/>
      <c r="AA442" s="11"/>
      <c r="AB442" s="20"/>
      <c r="AC442" s="24" t="s">
        <v>73</v>
      </c>
      <c r="AD442" s="10" t="s">
        <v>47</v>
      </c>
      <c r="AE442" s="10">
        <v>43385</v>
      </c>
      <c r="AF442" s="48"/>
      <c r="AG442" s="10">
        <v>43405</v>
      </c>
      <c r="AH442" s="25">
        <f t="shared" si="74"/>
        <v>20</v>
      </c>
      <c r="AK442" s="27"/>
    </row>
    <row r="443" spans="1:37" s="26" customFormat="1" ht="14.25" customHeight="1" x14ac:dyDescent="0.45">
      <c r="A443" s="8" t="s">
        <v>115</v>
      </c>
      <c r="B443" s="8" t="s">
        <v>129</v>
      </c>
      <c r="C443" s="8" t="s">
        <v>117</v>
      </c>
      <c r="D443" s="9" t="s">
        <v>1068</v>
      </c>
      <c r="E443" s="9">
        <v>43389</v>
      </c>
      <c r="F443" s="10">
        <v>43389</v>
      </c>
      <c r="G443" s="10">
        <v>43389</v>
      </c>
      <c r="H443" s="67"/>
      <c r="I443" s="68"/>
      <c r="J443" s="68"/>
      <c r="K443" s="51">
        <v>43487</v>
      </c>
      <c r="L443" s="9"/>
      <c r="M443" s="10" t="str">
        <f t="shared" si="67"/>
        <v>Oct-18</v>
      </c>
      <c r="N443" s="10" t="str">
        <f t="shared" si="68"/>
        <v>Jan-19</v>
      </c>
      <c r="O443" s="17" t="s">
        <v>1069</v>
      </c>
      <c r="P443" s="33" t="s">
        <v>598</v>
      </c>
      <c r="Q443" s="45">
        <v>256.27999999999997</v>
      </c>
      <c r="R443" s="67"/>
      <c r="S443" s="45">
        <f t="shared" si="73"/>
        <v>256.27999999999997</v>
      </c>
      <c r="T443" s="64">
        <f t="shared" si="69"/>
        <v>281.90800000000002</v>
      </c>
      <c r="U443" s="65"/>
      <c r="V443" s="65">
        <f>48.83*2</f>
        <v>97.66</v>
      </c>
      <c r="W443" s="21">
        <f t="shared" si="72"/>
        <v>97.66</v>
      </c>
      <c r="X443" s="22">
        <f t="shared" si="70"/>
        <v>158.61999999999998</v>
      </c>
      <c r="Y443" s="35">
        <f t="shared" si="71"/>
        <v>0.61893241766817542</v>
      </c>
      <c r="Z443" s="20"/>
      <c r="AA443" s="11"/>
      <c r="AB443" s="20"/>
      <c r="AC443" s="24" t="s">
        <v>121</v>
      </c>
      <c r="AD443" s="70"/>
      <c r="AE443" s="70"/>
      <c r="AF443" s="71"/>
      <c r="AG443" s="70"/>
      <c r="AH443" s="72"/>
      <c r="AK443" s="27"/>
    </row>
    <row r="444" spans="1:37" s="26" customFormat="1" ht="14.25" customHeight="1" x14ac:dyDescent="0.45">
      <c r="A444" s="8" t="s">
        <v>115</v>
      </c>
      <c r="B444" s="8" t="s">
        <v>129</v>
      </c>
      <c r="C444" s="8" t="s">
        <v>117</v>
      </c>
      <c r="D444" s="9" t="s">
        <v>1070</v>
      </c>
      <c r="E444" s="9">
        <v>43389</v>
      </c>
      <c r="F444" s="10">
        <v>43389</v>
      </c>
      <c r="G444" s="10">
        <v>43389</v>
      </c>
      <c r="H444" s="67"/>
      <c r="I444" s="68"/>
      <c r="J444" s="68"/>
      <c r="K444" s="15">
        <v>43487</v>
      </c>
      <c r="L444" s="9"/>
      <c r="M444" s="10" t="str">
        <f t="shared" si="67"/>
        <v>Oct-18</v>
      </c>
      <c r="N444" s="10" t="str">
        <f t="shared" si="68"/>
        <v>Jan-19</v>
      </c>
      <c r="O444" s="17" t="s">
        <v>1071</v>
      </c>
      <c r="P444" s="33" t="s">
        <v>120</v>
      </c>
      <c r="Q444" s="45">
        <v>384.42</v>
      </c>
      <c r="R444" s="67"/>
      <c r="S444" s="45">
        <f t="shared" si="73"/>
        <v>384.42</v>
      </c>
      <c r="T444" s="64">
        <f t="shared" si="69"/>
        <v>422.86200000000008</v>
      </c>
      <c r="U444" s="65"/>
      <c r="V444" s="65">
        <f>48.83*3</f>
        <v>146.49</v>
      </c>
      <c r="W444" s="21">
        <f t="shared" si="72"/>
        <v>146.49</v>
      </c>
      <c r="X444" s="22">
        <f t="shared" si="70"/>
        <v>237.93</v>
      </c>
      <c r="Y444" s="35">
        <f t="shared" si="71"/>
        <v>0.61893241766817542</v>
      </c>
      <c r="Z444" s="20"/>
      <c r="AA444" s="11"/>
      <c r="AB444" s="20"/>
      <c r="AC444" s="24" t="s">
        <v>121</v>
      </c>
      <c r="AD444" s="70"/>
      <c r="AE444" s="70"/>
      <c r="AF444" s="71"/>
      <c r="AG444" s="70"/>
      <c r="AH444" s="72"/>
      <c r="AK444" s="27"/>
    </row>
    <row r="445" spans="1:37" s="26" customFormat="1" ht="14.25" customHeight="1" x14ac:dyDescent="0.45">
      <c r="A445" s="28" t="s">
        <v>41</v>
      </c>
      <c r="B445" s="8" t="s">
        <v>357</v>
      </c>
      <c r="C445" s="8" t="s">
        <v>57</v>
      </c>
      <c r="D445" s="9" t="s">
        <v>1072</v>
      </c>
      <c r="E445" s="9">
        <v>43483</v>
      </c>
      <c r="F445" s="10">
        <v>43442</v>
      </c>
      <c r="G445" s="11">
        <v>43442</v>
      </c>
      <c r="H445" s="14">
        <v>43442</v>
      </c>
      <c r="I445" s="54">
        <v>43455</v>
      </c>
      <c r="J445" s="14">
        <f>G445+14</f>
        <v>43456</v>
      </c>
      <c r="K445" s="15">
        <v>43487</v>
      </c>
      <c r="L445" s="9"/>
      <c r="M445" s="10" t="str">
        <f t="shared" si="67"/>
        <v>Dec-18</v>
      </c>
      <c r="N445" s="10" t="str">
        <f t="shared" si="68"/>
        <v>Jan-19</v>
      </c>
      <c r="O445" s="17" t="s">
        <v>1073</v>
      </c>
      <c r="P445" s="33" t="s">
        <v>1074</v>
      </c>
      <c r="Q445" s="45">
        <v>9092.68</v>
      </c>
      <c r="R445" s="45">
        <v>2989.5673999999999</v>
      </c>
      <c r="S445" s="45">
        <f t="shared" si="73"/>
        <v>12082.2474</v>
      </c>
      <c r="T445" s="64">
        <f t="shared" si="69"/>
        <v>13290.472140000002</v>
      </c>
      <c r="U445" s="65"/>
      <c r="V445" s="65"/>
      <c r="W445" s="21">
        <f t="shared" si="72"/>
        <v>0</v>
      </c>
      <c r="X445" s="22">
        <f t="shared" si="70"/>
        <v>12082.2474</v>
      </c>
      <c r="Y445" s="35">
        <f t="shared" si="71"/>
        <v>1</v>
      </c>
      <c r="Z445" s="20"/>
      <c r="AA445" s="11"/>
      <c r="AB445" s="20"/>
      <c r="AC445" s="24" t="s">
        <v>73</v>
      </c>
      <c r="AD445" s="10" t="s">
        <v>47</v>
      </c>
      <c r="AE445" s="10">
        <v>43389</v>
      </c>
      <c r="AF445" s="48"/>
      <c r="AG445" s="10">
        <v>43437</v>
      </c>
      <c r="AH445" s="25">
        <f t="shared" ref="AH445:AH453" si="77">AG445-AE445</f>
        <v>48</v>
      </c>
      <c r="AK445" s="27"/>
    </row>
    <row r="446" spans="1:37" s="26" customFormat="1" ht="14.25" customHeight="1" x14ac:dyDescent="0.45">
      <c r="A446" s="8" t="s">
        <v>774</v>
      </c>
      <c r="B446" s="8" t="s">
        <v>146</v>
      </c>
      <c r="C446" s="8" t="s">
        <v>36</v>
      </c>
      <c r="D446" s="9"/>
      <c r="E446" s="9"/>
      <c r="F446" s="10"/>
      <c r="G446" s="11">
        <v>43524</v>
      </c>
      <c r="H446" s="51"/>
      <c r="I446" s="52"/>
      <c r="J446" s="51"/>
      <c r="K446" s="51"/>
      <c r="L446" s="9"/>
      <c r="M446" s="10" t="str">
        <f t="shared" si="67"/>
        <v>Feb-19</v>
      </c>
      <c r="N446" s="10" t="str">
        <f t="shared" si="68"/>
        <v>Jan-00</v>
      </c>
      <c r="O446" s="113" t="s">
        <v>1075</v>
      </c>
      <c r="P446" s="113" t="s">
        <v>1076</v>
      </c>
      <c r="Q446" s="45">
        <f>51040.37-Q447</f>
        <v>35728.259000000005</v>
      </c>
      <c r="R446" s="45"/>
      <c r="S446" s="45">
        <f t="shared" si="73"/>
        <v>35728.259000000005</v>
      </c>
      <c r="T446" s="64">
        <f t="shared" si="69"/>
        <v>39301.084900000009</v>
      </c>
      <c r="U446" s="65">
        <v>41108.89</v>
      </c>
      <c r="V446" s="65"/>
      <c r="W446" s="21">
        <f t="shared" si="72"/>
        <v>41108.89</v>
      </c>
      <c r="X446" s="22">
        <f t="shared" si="70"/>
        <v>-5380.6309999999939</v>
      </c>
      <c r="Y446" s="35">
        <f t="shared" si="71"/>
        <v>-0.15059874593945349</v>
      </c>
      <c r="Z446" s="20"/>
      <c r="AA446" s="11"/>
      <c r="AB446" s="20"/>
      <c r="AC446" s="24" t="s">
        <v>69</v>
      </c>
      <c r="AD446" s="10" t="s">
        <v>47</v>
      </c>
      <c r="AE446" s="10">
        <v>43389</v>
      </c>
      <c r="AF446" s="48"/>
      <c r="AG446" s="10">
        <v>43454</v>
      </c>
      <c r="AH446" s="25">
        <f t="shared" si="77"/>
        <v>65</v>
      </c>
      <c r="AK446" s="27"/>
    </row>
    <row r="447" spans="1:37" s="26" customFormat="1" ht="14.25" customHeight="1" x14ac:dyDescent="0.45">
      <c r="A447" s="8" t="s">
        <v>546</v>
      </c>
      <c r="B447" s="8" t="s">
        <v>35</v>
      </c>
      <c r="C447" s="8" t="s">
        <v>51</v>
      </c>
      <c r="D447" s="9" t="s">
        <v>1077</v>
      </c>
      <c r="E447" s="9">
        <v>43399</v>
      </c>
      <c r="F447" s="10">
        <v>43390</v>
      </c>
      <c r="G447" s="10">
        <v>43390</v>
      </c>
      <c r="H447" s="67"/>
      <c r="I447" s="68"/>
      <c r="J447" s="67"/>
      <c r="K447" s="14">
        <v>43396</v>
      </c>
      <c r="L447" s="9"/>
      <c r="M447" s="10" t="str">
        <f t="shared" si="67"/>
        <v>Oct-18</v>
      </c>
      <c r="N447" s="10" t="str">
        <f t="shared" si="68"/>
        <v>Oct-18</v>
      </c>
      <c r="O447" s="113" t="s">
        <v>1075</v>
      </c>
      <c r="P447" s="113" t="s">
        <v>1076</v>
      </c>
      <c r="Q447" s="45">
        <v>15312.111000000001</v>
      </c>
      <c r="R447" s="73"/>
      <c r="S447" s="45">
        <f t="shared" si="73"/>
        <v>15312.111000000001</v>
      </c>
      <c r="T447" s="64">
        <f t="shared" si="69"/>
        <v>16843.322100000001</v>
      </c>
      <c r="U447" s="65"/>
      <c r="V447" s="65"/>
      <c r="W447" s="21">
        <f t="shared" si="72"/>
        <v>0</v>
      </c>
      <c r="X447" s="22">
        <f t="shared" si="70"/>
        <v>15312.111000000001</v>
      </c>
      <c r="Y447" s="35">
        <f t="shared" si="71"/>
        <v>1</v>
      </c>
      <c r="Z447" s="20"/>
      <c r="AA447" s="11"/>
      <c r="AB447" s="20"/>
      <c r="AC447" s="24" t="s">
        <v>69</v>
      </c>
      <c r="AD447" s="10" t="s">
        <v>47</v>
      </c>
      <c r="AE447" s="10">
        <v>43389</v>
      </c>
      <c r="AF447" s="48"/>
      <c r="AG447" s="10">
        <v>43454</v>
      </c>
      <c r="AH447" s="25">
        <f t="shared" si="77"/>
        <v>65</v>
      </c>
      <c r="AK447" s="27"/>
    </row>
    <row r="448" spans="1:37" s="26" customFormat="1" ht="14.25" customHeight="1" x14ac:dyDescent="0.45">
      <c r="A448" s="8" t="s">
        <v>34</v>
      </c>
      <c r="B448" s="8" t="s">
        <v>863</v>
      </c>
      <c r="C448" s="8" t="s">
        <v>43</v>
      </c>
      <c r="D448" s="9"/>
      <c r="E448" s="9"/>
      <c r="F448" s="10">
        <v>43483</v>
      </c>
      <c r="G448" s="11">
        <v>43483</v>
      </c>
      <c r="H448" s="51">
        <v>43483</v>
      </c>
      <c r="I448" s="52"/>
      <c r="J448" s="14">
        <v>43494</v>
      </c>
      <c r="K448" s="51">
        <f>I448+14</f>
        <v>14</v>
      </c>
      <c r="L448" s="9"/>
      <c r="M448" s="10" t="str">
        <f t="shared" si="67"/>
        <v>Jan-19</v>
      </c>
      <c r="N448" s="10" t="str">
        <f t="shared" si="68"/>
        <v>Jan-00</v>
      </c>
      <c r="O448" s="17" t="s">
        <v>1078</v>
      </c>
      <c r="P448" s="33" t="s">
        <v>1079</v>
      </c>
      <c r="Q448" s="45">
        <v>13588.63</v>
      </c>
      <c r="R448" s="45">
        <v>18400.564999999999</v>
      </c>
      <c r="S448" s="45">
        <f t="shared" si="73"/>
        <v>31989.195</v>
      </c>
      <c r="T448" s="64">
        <f t="shared" si="69"/>
        <v>35188.114500000003</v>
      </c>
      <c r="U448" s="65">
        <v>20142.57</v>
      </c>
      <c r="V448" s="65">
        <f>2756.621496+1681</f>
        <v>4437.6214959999998</v>
      </c>
      <c r="W448" s="78">
        <f t="shared" si="72"/>
        <v>24580.191495999999</v>
      </c>
      <c r="X448" s="22">
        <f t="shared" si="70"/>
        <v>7409.0035040000002</v>
      </c>
      <c r="Y448" s="141">
        <f t="shared" si="71"/>
        <v>0.23160956391681631</v>
      </c>
      <c r="Z448" s="20"/>
      <c r="AA448" s="11"/>
      <c r="AB448" s="20"/>
      <c r="AC448" s="24" t="s">
        <v>69</v>
      </c>
      <c r="AD448" s="10">
        <v>43382</v>
      </c>
      <c r="AE448" s="10">
        <v>43389</v>
      </c>
      <c r="AF448" s="63">
        <f>AE448-AD448</f>
        <v>7</v>
      </c>
      <c r="AG448" s="10">
        <v>43455</v>
      </c>
      <c r="AH448" s="25">
        <f t="shared" si="77"/>
        <v>66</v>
      </c>
      <c r="AK448" s="27"/>
    </row>
    <row r="449" spans="1:37" s="26" customFormat="1" ht="14.25" customHeight="1" x14ac:dyDescent="0.45">
      <c r="A449" s="28" t="s">
        <v>41</v>
      </c>
      <c r="B449" s="8" t="s">
        <v>146</v>
      </c>
      <c r="C449" s="8" t="s">
        <v>36</v>
      </c>
      <c r="D449" s="9"/>
      <c r="E449" s="9"/>
      <c r="F449" s="10"/>
      <c r="G449" s="11">
        <v>43615</v>
      </c>
      <c r="H449" s="51"/>
      <c r="I449" s="52"/>
      <c r="J449" s="51"/>
      <c r="K449" s="51"/>
      <c r="L449" s="9"/>
      <c r="M449" s="10" t="str">
        <f t="shared" si="67"/>
        <v>May-19</v>
      </c>
      <c r="N449" s="10" t="str">
        <f t="shared" si="68"/>
        <v>Jan-00</v>
      </c>
      <c r="O449" s="17" t="s">
        <v>1080</v>
      </c>
      <c r="P449" s="33" t="s">
        <v>1081</v>
      </c>
      <c r="Q449" s="45">
        <v>1375.53</v>
      </c>
      <c r="R449" s="45"/>
      <c r="S449" s="45">
        <f t="shared" si="73"/>
        <v>1375.53</v>
      </c>
      <c r="T449" s="64">
        <f t="shared" si="69"/>
        <v>1513.0830000000001</v>
      </c>
      <c r="U449" s="65">
        <v>300</v>
      </c>
      <c r="V449" s="65"/>
      <c r="W449" s="21">
        <f t="shared" si="72"/>
        <v>300</v>
      </c>
      <c r="X449" s="22">
        <f t="shared" si="70"/>
        <v>1075.53</v>
      </c>
      <c r="Y449" s="35">
        <f t="shared" si="71"/>
        <v>0.78190224858781709</v>
      </c>
      <c r="Z449" s="20"/>
      <c r="AA449" s="11"/>
      <c r="AB449" s="20"/>
      <c r="AC449" s="24" t="s">
        <v>73</v>
      </c>
      <c r="AD449" s="10" t="s">
        <v>47</v>
      </c>
      <c r="AE449" s="10">
        <v>43389</v>
      </c>
      <c r="AF449" s="48"/>
      <c r="AG449" s="10">
        <v>43436</v>
      </c>
      <c r="AH449" s="25">
        <f t="shared" si="77"/>
        <v>47</v>
      </c>
      <c r="AK449" s="27"/>
    </row>
    <row r="450" spans="1:37" s="26" customFormat="1" ht="14.25" customHeight="1" x14ac:dyDescent="0.45">
      <c r="A450" s="28" t="s">
        <v>41</v>
      </c>
      <c r="B450" s="8" t="s">
        <v>35</v>
      </c>
      <c r="C450" s="8" t="s">
        <v>43</v>
      </c>
      <c r="D450" s="9" t="s">
        <v>1082</v>
      </c>
      <c r="E450" s="9">
        <v>43511</v>
      </c>
      <c r="F450" s="10">
        <v>43455</v>
      </c>
      <c r="G450" s="11">
        <v>43455</v>
      </c>
      <c r="H450" s="15">
        <v>43454</v>
      </c>
      <c r="I450" s="49">
        <v>43495</v>
      </c>
      <c r="J450" s="62">
        <v>43476</v>
      </c>
      <c r="K450" s="15">
        <v>43511</v>
      </c>
      <c r="L450" s="9"/>
      <c r="M450" s="10" t="str">
        <f t="shared" ref="M450:M513" si="78">TEXT(G450,"mmm-yy")</f>
        <v>Dec-18</v>
      </c>
      <c r="N450" s="10" t="str">
        <f t="shared" ref="N450:N513" si="79">TEXT(K450,"mmm-yy")</f>
        <v>Feb-19</v>
      </c>
      <c r="O450" s="17" t="s">
        <v>1083</v>
      </c>
      <c r="P450" s="33"/>
      <c r="Q450" s="45">
        <v>932.59</v>
      </c>
      <c r="R450" s="45">
        <v>6243.0099999999993</v>
      </c>
      <c r="S450" s="45">
        <f t="shared" si="73"/>
        <v>7175.5999999999995</v>
      </c>
      <c r="T450" s="64">
        <f t="shared" ref="T450:T513" si="80">S450*1.1</f>
        <v>7893.16</v>
      </c>
      <c r="U450" s="65">
        <v>2141.2600000000002</v>
      </c>
      <c r="V450" s="65"/>
      <c r="W450" s="21">
        <f t="shared" si="72"/>
        <v>2141.2600000000002</v>
      </c>
      <c r="X450" s="22">
        <f t="shared" ref="X450:X513" si="81">S450-W450</f>
        <v>5034.3399999999992</v>
      </c>
      <c r="Y450" s="35">
        <f t="shared" ref="Y450:Y513" si="82">X450/S450</f>
        <v>0.70159150454317398</v>
      </c>
      <c r="Z450" s="20"/>
      <c r="AA450" s="11"/>
      <c r="AB450" s="20"/>
      <c r="AC450" s="24" t="s">
        <v>73</v>
      </c>
      <c r="AD450" s="10" t="s">
        <v>47</v>
      </c>
      <c r="AE450" s="10">
        <v>43389</v>
      </c>
      <c r="AF450" s="48"/>
      <c r="AG450" s="10">
        <v>43438</v>
      </c>
      <c r="AH450" s="25">
        <f t="shared" si="77"/>
        <v>49</v>
      </c>
      <c r="AK450" s="27"/>
    </row>
    <row r="451" spans="1:37" s="26" customFormat="1" ht="14.25" customHeight="1" x14ac:dyDescent="0.45">
      <c r="A451" s="28" t="s">
        <v>41</v>
      </c>
      <c r="B451" s="8" t="s">
        <v>146</v>
      </c>
      <c r="C451" s="8" t="s">
        <v>36</v>
      </c>
      <c r="D451" s="9"/>
      <c r="E451" s="9"/>
      <c r="F451" s="10"/>
      <c r="G451" s="11">
        <v>43585</v>
      </c>
      <c r="H451" s="51"/>
      <c r="I451" s="52"/>
      <c r="J451" s="51"/>
      <c r="K451" s="51"/>
      <c r="L451" s="9"/>
      <c r="M451" s="10" t="str">
        <f t="shared" si="78"/>
        <v>Apr-19</v>
      </c>
      <c r="N451" s="10" t="str">
        <f t="shared" si="79"/>
        <v>Jan-00</v>
      </c>
      <c r="O451" s="17" t="s">
        <v>1084</v>
      </c>
      <c r="P451" s="33" t="s">
        <v>1081</v>
      </c>
      <c r="Q451" s="45">
        <v>1224.43</v>
      </c>
      <c r="R451" s="45"/>
      <c r="S451" s="45">
        <f t="shared" si="73"/>
        <v>1224.43</v>
      </c>
      <c r="T451" s="64">
        <f t="shared" si="80"/>
        <v>1346.8730000000003</v>
      </c>
      <c r="U451" s="65">
        <v>300</v>
      </c>
      <c r="V451" s="65"/>
      <c r="W451" s="21">
        <f t="shared" si="72"/>
        <v>300</v>
      </c>
      <c r="X451" s="22">
        <f t="shared" si="81"/>
        <v>924.43000000000006</v>
      </c>
      <c r="Y451" s="35">
        <f t="shared" si="82"/>
        <v>0.75498803524905467</v>
      </c>
      <c r="Z451" s="20"/>
      <c r="AA451" s="11"/>
      <c r="AB451" s="20"/>
      <c r="AC451" s="24" t="s">
        <v>73</v>
      </c>
      <c r="AD451" s="10" t="s">
        <v>47</v>
      </c>
      <c r="AE451" s="10">
        <v>43390</v>
      </c>
      <c r="AF451" s="48"/>
      <c r="AG451" s="10">
        <v>43438</v>
      </c>
      <c r="AH451" s="25">
        <f t="shared" si="77"/>
        <v>48</v>
      </c>
      <c r="AK451" s="27"/>
    </row>
    <row r="452" spans="1:37" s="26" customFormat="1" ht="14.25" customHeight="1" x14ac:dyDescent="0.45">
      <c r="A452" s="8" t="s">
        <v>805</v>
      </c>
      <c r="B452" s="8" t="s">
        <v>42</v>
      </c>
      <c r="C452" s="8" t="s">
        <v>36</v>
      </c>
      <c r="D452" s="9"/>
      <c r="E452" s="9"/>
      <c r="F452" s="10">
        <v>43538</v>
      </c>
      <c r="G452" s="11">
        <v>43538</v>
      </c>
      <c r="H452" s="51">
        <v>43538</v>
      </c>
      <c r="I452" s="52"/>
      <c r="J452" s="51">
        <f>G452+14</f>
        <v>43552</v>
      </c>
      <c r="K452" s="51">
        <f>J452+14</f>
        <v>43566</v>
      </c>
      <c r="L452" s="9"/>
      <c r="M452" s="10" t="str">
        <f t="shared" si="78"/>
        <v>Mar-19</v>
      </c>
      <c r="N452" s="10" t="str">
        <f t="shared" si="79"/>
        <v>Apr-19</v>
      </c>
      <c r="O452" s="50" t="s">
        <v>1085</v>
      </c>
      <c r="P452" s="50" t="s">
        <v>81</v>
      </c>
      <c r="Q452" s="45">
        <v>960</v>
      </c>
      <c r="R452" s="45">
        <v>3408.15</v>
      </c>
      <c r="S452" s="45">
        <f t="shared" si="73"/>
        <v>4368.1499999999996</v>
      </c>
      <c r="T452" s="64">
        <f t="shared" si="80"/>
        <v>4804.9650000000001</v>
      </c>
      <c r="U452" s="65"/>
      <c r="V452" s="65"/>
      <c r="W452" s="21">
        <f t="shared" si="72"/>
        <v>0</v>
      </c>
      <c r="X452" s="22">
        <f t="shared" si="81"/>
        <v>4368.1499999999996</v>
      </c>
      <c r="Y452" s="35">
        <f t="shared" si="82"/>
        <v>1</v>
      </c>
      <c r="Z452" s="20"/>
      <c r="AA452" s="11"/>
      <c r="AB452" s="20"/>
      <c r="AC452" s="24" t="s">
        <v>69</v>
      </c>
      <c r="AD452" s="10">
        <v>43389</v>
      </c>
      <c r="AE452" s="10">
        <v>43391</v>
      </c>
      <c r="AF452" s="63">
        <f>AE452-AD452</f>
        <v>2</v>
      </c>
      <c r="AG452" s="10">
        <v>43430</v>
      </c>
      <c r="AH452" s="25">
        <f t="shared" si="77"/>
        <v>39</v>
      </c>
      <c r="AK452" s="27"/>
    </row>
    <row r="453" spans="1:37" s="26" customFormat="1" ht="14.25" customHeight="1" x14ac:dyDescent="0.45">
      <c r="A453" s="28" t="s">
        <v>41</v>
      </c>
      <c r="B453" s="8" t="s">
        <v>35</v>
      </c>
      <c r="C453" s="8" t="s">
        <v>43</v>
      </c>
      <c r="D453" s="9"/>
      <c r="E453" s="9"/>
      <c r="F453" s="11">
        <v>43481</v>
      </c>
      <c r="G453" s="11">
        <v>43481</v>
      </c>
      <c r="H453" s="15">
        <v>43481</v>
      </c>
      <c r="I453" s="49">
        <v>43536</v>
      </c>
      <c r="J453" s="14">
        <f>G453+14</f>
        <v>43495</v>
      </c>
      <c r="K453" s="51">
        <f>J453+14</f>
        <v>43509</v>
      </c>
      <c r="L453" s="9"/>
      <c r="M453" s="10" t="str">
        <f t="shared" si="78"/>
        <v>Jan-19</v>
      </c>
      <c r="N453" s="10" t="str">
        <f t="shared" si="79"/>
        <v>Feb-19</v>
      </c>
      <c r="O453" s="17" t="s">
        <v>1086</v>
      </c>
      <c r="P453" s="33" t="s">
        <v>1087</v>
      </c>
      <c r="Q453" s="45">
        <v>6061.73</v>
      </c>
      <c r="R453" s="45">
        <v>12246.351999999999</v>
      </c>
      <c r="S453" s="45">
        <f t="shared" si="73"/>
        <v>18308.081999999999</v>
      </c>
      <c r="T453" s="64">
        <f t="shared" si="80"/>
        <v>20138.890200000002</v>
      </c>
      <c r="U453" s="65">
        <v>6847.32</v>
      </c>
      <c r="V453" s="65">
        <v>4150.2493079999995</v>
      </c>
      <c r="W453" s="21">
        <f t="shared" si="72"/>
        <v>10997.569307999998</v>
      </c>
      <c r="X453" s="22">
        <f t="shared" si="81"/>
        <v>7310.5126920000002</v>
      </c>
      <c r="Y453" s="35">
        <f t="shared" si="82"/>
        <v>0.3993052189737844</v>
      </c>
      <c r="Z453" s="20"/>
      <c r="AA453" s="11"/>
      <c r="AB453" s="20"/>
      <c r="AC453" s="24" t="s">
        <v>73</v>
      </c>
      <c r="AD453" s="10" t="s">
        <v>47</v>
      </c>
      <c r="AE453" s="10">
        <v>43391</v>
      </c>
      <c r="AF453" s="48"/>
      <c r="AG453" s="10">
        <v>43437</v>
      </c>
      <c r="AH453" s="25">
        <f t="shared" si="77"/>
        <v>46</v>
      </c>
      <c r="AK453" s="27"/>
    </row>
    <row r="454" spans="1:37" s="26" customFormat="1" ht="14.25" customHeight="1" x14ac:dyDescent="0.45">
      <c r="A454" s="28" t="s">
        <v>802</v>
      </c>
      <c r="B454" s="8" t="s">
        <v>35</v>
      </c>
      <c r="C454" s="8" t="s">
        <v>36</v>
      </c>
      <c r="D454" s="9" t="s">
        <v>1088</v>
      </c>
      <c r="E454" s="9">
        <v>43448</v>
      </c>
      <c r="F454" s="10">
        <v>43417</v>
      </c>
      <c r="G454" s="11">
        <v>43417</v>
      </c>
      <c r="H454" s="14">
        <v>43417</v>
      </c>
      <c r="I454" s="54">
        <v>43426</v>
      </c>
      <c r="J454" s="77">
        <v>43432</v>
      </c>
      <c r="K454" s="77">
        <v>43448</v>
      </c>
      <c r="L454" s="9"/>
      <c r="M454" s="10" t="str">
        <f t="shared" si="78"/>
        <v>Nov-18</v>
      </c>
      <c r="N454" s="10" t="str">
        <f t="shared" si="79"/>
        <v>Dec-18</v>
      </c>
      <c r="O454" s="134" t="s">
        <v>1089</v>
      </c>
      <c r="P454" s="135" t="s">
        <v>1090</v>
      </c>
      <c r="Q454" s="45">
        <v>9278.44</v>
      </c>
      <c r="R454" s="45">
        <v>5236.0600000000004</v>
      </c>
      <c r="S454" s="45">
        <f t="shared" si="73"/>
        <v>14514.5</v>
      </c>
      <c r="T454" s="64">
        <f t="shared" si="80"/>
        <v>15965.95</v>
      </c>
      <c r="U454" s="65">
        <v>7245.8956000000007</v>
      </c>
      <c r="V454" s="65"/>
      <c r="W454" s="21">
        <f t="shared" ref="W454:W517" si="83">SUM(U454:V454)</f>
        <v>7245.8956000000007</v>
      </c>
      <c r="X454" s="22">
        <f t="shared" si="81"/>
        <v>7268.6043999999993</v>
      </c>
      <c r="Y454" s="35">
        <f t="shared" si="82"/>
        <v>0.50078227978917633</v>
      </c>
      <c r="Z454" s="20"/>
      <c r="AA454" s="11"/>
      <c r="AB454" s="20"/>
      <c r="AC454" s="24" t="s">
        <v>128</v>
      </c>
      <c r="AD454" s="136" t="s">
        <v>47</v>
      </c>
      <c r="AE454" s="136"/>
      <c r="AF454" s="137"/>
      <c r="AG454" s="136"/>
      <c r="AH454" s="138"/>
      <c r="AK454" s="27"/>
    </row>
    <row r="455" spans="1:37" s="26" customFormat="1" ht="14.25" customHeight="1" x14ac:dyDescent="0.45">
      <c r="A455" s="28" t="s">
        <v>802</v>
      </c>
      <c r="B455" s="8" t="s">
        <v>35</v>
      </c>
      <c r="C455" s="8" t="s">
        <v>36</v>
      </c>
      <c r="D455" s="9" t="s">
        <v>1091</v>
      </c>
      <c r="E455" s="9">
        <v>43439</v>
      </c>
      <c r="F455" s="10">
        <v>43402</v>
      </c>
      <c r="G455" s="11">
        <v>43409</v>
      </c>
      <c r="H455" s="14">
        <v>43413</v>
      </c>
      <c r="I455" s="54">
        <v>43423</v>
      </c>
      <c r="J455" s="15">
        <v>43425</v>
      </c>
      <c r="K455" s="14">
        <v>43438</v>
      </c>
      <c r="L455" s="9"/>
      <c r="M455" s="10" t="str">
        <f t="shared" si="78"/>
        <v>Nov-18</v>
      </c>
      <c r="N455" s="10" t="str">
        <f t="shared" si="79"/>
        <v>Dec-18</v>
      </c>
      <c r="O455" s="134" t="s">
        <v>1092</v>
      </c>
      <c r="P455" s="135" t="s">
        <v>565</v>
      </c>
      <c r="Q455" s="18">
        <v>6802.6</v>
      </c>
      <c r="R455" s="18">
        <v>5870.02</v>
      </c>
      <c r="S455" s="45">
        <f t="shared" si="73"/>
        <v>12672.62</v>
      </c>
      <c r="T455" s="64">
        <f t="shared" si="80"/>
        <v>13939.882000000001</v>
      </c>
      <c r="U455" s="65">
        <v>4841.6215999999995</v>
      </c>
      <c r="V455" s="65"/>
      <c r="W455" s="21">
        <f t="shared" si="83"/>
        <v>4841.6215999999995</v>
      </c>
      <c r="X455" s="22">
        <f t="shared" si="81"/>
        <v>7830.9984000000013</v>
      </c>
      <c r="Y455" s="35">
        <f t="shared" si="82"/>
        <v>0.61794628103738614</v>
      </c>
      <c r="Z455" s="20"/>
      <c r="AA455" s="11"/>
      <c r="AB455" s="20"/>
      <c r="AC455" s="24" t="s">
        <v>128</v>
      </c>
      <c r="AD455" s="136" t="s">
        <v>47</v>
      </c>
      <c r="AE455" s="136"/>
      <c r="AF455" s="137"/>
      <c r="AG455" s="136"/>
      <c r="AH455" s="138"/>
      <c r="AK455" s="27"/>
    </row>
    <row r="456" spans="1:37" s="26" customFormat="1" ht="14.25" customHeight="1" x14ac:dyDescent="0.45">
      <c r="A456" s="28" t="s">
        <v>41</v>
      </c>
      <c r="B456" s="8" t="s">
        <v>35</v>
      </c>
      <c r="C456" s="8" t="s">
        <v>43</v>
      </c>
      <c r="D456" s="9" t="s">
        <v>1093</v>
      </c>
      <c r="E456" s="9">
        <v>43511</v>
      </c>
      <c r="F456" s="10">
        <v>43439</v>
      </c>
      <c r="G456" s="11">
        <v>43439</v>
      </c>
      <c r="H456" s="15">
        <v>43451</v>
      </c>
      <c r="I456" s="49">
        <v>43495</v>
      </c>
      <c r="J456" s="14">
        <f>G456+14</f>
        <v>43453</v>
      </c>
      <c r="K456" s="15">
        <v>43511</v>
      </c>
      <c r="L456" s="9"/>
      <c r="M456" s="10" t="str">
        <f t="shared" si="78"/>
        <v>Dec-18</v>
      </c>
      <c r="N456" s="10" t="str">
        <f t="shared" si="79"/>
        <v>Feb-19</v>
      </c>
      <c r="O456" s="17" t="s">
        <v>1094</v>
      </c>
      <c r="P456" s="33" t="s">
        <v>235</v>
      </c>
      <c r="Q456" s="18">
        <v>1915.96</v>
      </c>
      <c r="R456" s="18">
        <v>5533.73</v>
      </c>
      <c r="S456" s="18">
        <f t="shared" si="73"/>
        <v>7449.69</v>
      </c>
      <c r="T456" s="64">
        <f t="shared" si="80"/>
        <v>8194.6589999999997</v>
      </c>
      <c r="U456" s="65">
        <v>3749.57</v>
      </c>
      <c r="V456" s="65"/>
      <c r="W456" s="78">
        <f t="shared" si="83"/>
        <v>3749.57</v>
      </c>
      <c r="X456" s="22">
        <f t="shared" si="81"/>
        <v>3700.1199999999994</v>
      </c>
      <c r="Y456" s="35">
        <f t="shared" si="82"/>
        <v>0.49668106995056166</v>
      </c>
      <c r="Z456" s="20"/>
      <c r="AA456" s="11"/>
      <c r="AB456" s="20"/>
      <c r="AC456" s="24" t="s">
        <v>73</v>
      </c>
      <c r="AD456" s="10" t="s">
        <v>47</v>
      </c>
      <c r="AE456" s="10">
        <v>43392</v>
      </c>
      <c r="AF456" s="8"/>
      <c r="AG456" s="10">
        <v>43441</v>
      </c>
      <c r="AH456" s="25">
        <f t="shared" ref="AH456:AH519" si="84">AG456-AE456</f>
        <v>49</v>
      </c>
      <c r="AK456" s="27"/>
    </row>
    <row r="457" spans="1:37" s="26" customFormat="1" ht="14.25" customHeight="1" x14ac:dyDescent="0.45">
      <c r="A457" s="28" t="s">
        <v>41</v>
      </c>
      <c r="B457" s="8" t="s">
        <v>42</v>
      </c>
      <c r="C457" s="28" t="s">
        <v>43</v>
      </c>
      <c r="D457" s="9"/>
      <c r="E457" s="9"/>
      <c r="F457" s="10"/>
      <c r="G457" s="11">
        <v>43615</v>
      </c>
      <c r="H457" s="51"/>
      <c r="I457" s="52"/>
      <c r="J457" s="51"/>
      <c r="K457" s="51"/>
      <c r="L457" s="9"/>
      <c r="M457" s="10" t="str">
        <f t="shared" si="78"/>
        <v>May-19</v>
      </c>
      <c r="N457" s="10" t="str">
        <f t="shared" si="79"/>
        <v>Jan-00</v>
      </c>
      <c r="O457" s="17" t="s">
        <v>1095</v>
      </c>
      <c r="P457" s="33" t="s">
        <v>81</v>
      </c>
      <c r="Q457" s="18">
        <v>4049.37</v>
      </c>
      <c r="R457" s="18"/>
      <c r="S457" s="18">
        <f t="shared" ref="S457:S475" si="85">SUM(Q457:R457)</f>
        <v>4049.37</v>
      </c>
      <c r="T457" s="64">
        <f t="shared" si="80"/>
        <v>4454.3069999999998</v>
      </c>
      <c r="U457" s="65"/>
      <c r="V457" s="65"/>
      <c r="W457" s="21">
        <f t="shared" si="83"/>
        <v>0</v>
      </c>
      <c r="X457" s="22">
        <f t="shared" si="81"/>
        <v>4049.37</v>
      </c>
      <c r="Y457" s="35">
        <f t="shared" si="82"/>
        <v>1</v>
      </c>
      <c r="Z457" s="20"/>
      <c r="AA457" s="11"/>
      <c r="AB457" s="20"/>
      <c r="AC457" s="24" t="s">
        <v>61</v>
      </c>
      <c r="AD457" s="10" t="s">
        <v>47</v>
      </c>
      <c r="AE457" s="10">
        <v>43392</v>
      </c>
      <c r="AF457" s="8"/>
      <c r="AG457" s="10">
        <v>43438</v>
      </c>
      <c r="AH457" s="25">
        <f t="shared" si="84"/>
        <v>46</v>
      </c>
      <c r="AK457" s="27"/>
    </row>
    <row r="458" spans="1:37" s="26" customFormat="1" ht="14.25" customHeight="1" x14ac:dyDescent="0.45">
      <c r="A458" s="28" t="s">
        <v>41</v>
      </c>
      <c r="B458" s="8" t="s">
        <v>357</v>
      </c>
      <c r="C458" s="8" t="s">
        <v>57</v>
      </c>
      <c r="D458" s="9" t="s">
        <v>1096</v>
      </c>
      <c r="E458" s="9">
        <v>43481</v>
      </c>
      <c r="F458" s="10">
        <v>43441</v>
      </c>
      <c r="G458" s="11">
        <v>43441</v>
      </c>
      <c r="H458" s="67"/>
      <c r="I458" s="68"/>
      <c r="J458" s="14">
        <f>G458+14</f>
        <v>43455</v>
      </c>
      <c r="K458" s="15">
        <v>43480</v>
      </c>
      <c r="L458" s="9"/>
      <c r="M458" s="10" t="str">
        <f t="shared" si="78"/>
        <v>Dec-18</v>
      </c>
      <c r="N458" s="10" t="str">
        <f t="shared" si="79"/>
        <v>Jan-19</v>
      </c>
      <c r="O458" s="17" t="s">
        <v>1097</v>
      </c>
      <c r="P458" s="33" t="s">
        <v>1038</v>
      </c>
      <c r="Q458" s="18">
        <v>1592.08</v>
      </c>
      <c r="R458" s="18"/>
      <c r="S458" s="18">
        <f t="shared" si="85"/>
        <v>1592.08</v>
      </c>
      <c r="T458" s="64">
        <f t="shared" si="80"/>
        <v>1751.288</v>
      </c>
      <c r="U458" s="65"/>
      <c r="V458" s="65">
        <v>342</v>
      </c>
      <c r="W458" s="21">
        <f t="shared" si="83"/>
        <v>342</v>
      </c>
      <c r="X458" s="22">
        <f t="shared" si="81"/>
        <v>1250.08</v>
      </c>
      <c r="Y458" s="35">
        <f t="shared" si="82"/>
        <v>0.78518667403648057</v>
      </c>
      <c r="Z458" s="20"/>
      <c r="AA458" s="11"/>
      <c r="AB458" s="20"/>
      <c r="AC458" s="24" t="s">
        <v>61</v>
      </c>
      <c r="AD458" s="10" t="s">
        <v>47</v>
      </c>
      <c r="AE458" s="10">
        <v>43395</v>
      </c>
      <c r="AF458" s="8"/>
      <c r="AG458" s="10">
        <v>43446</v>
      </c>
      <c r="AH458" s="25">
        <f t="shared" si="84"/>
        <v>51</v>
      </c>
      <c r="AK458" s="27"/>
    </row>
    <row r="459" spans="1:37" s="26" customFormat="1" ht="14.25" customHeight="1" x14ac:dyDescent="0.45">
      <c r="A459" s="28" t="s">
        <v>41</v>
      </c>
      <c r="B459" s="8" t="s">
        <v>739</v>
      </c>
      <c r="C459" s="28" t="s">
        <v>43</v>
      </c>
      <c r="D459" s="9"/>
      <c r="E459" s="9"/>
      <c r="F459" s="10"/>
      <c r="G459" s="11">
        <v>43554</v>
      </c>
      <c r="H459" s="51"/>
      <c r="I459" s="52"/>
      <c r="J459" s="51"/>
      <c r="K459" s="51"/>
      <c r="L459" s="9"/>
      <c r="M459" s="10" t="str">
        <f t="shared" si="78"/>
        <v>Mar-19</v>
      </c>
      <c r="N459" s="10" t="str">
        <f t="shared" si="79"/>
        <v>Jan-00</v>
      </c>
      <c r="O459" s="17" t="s">
        <v>1098</v>
      </c>
      <c r="P459" s="33" t="s">
        <v>1099</v>
      </c>
      <c r="Q459" s="18">
        <v>1743.13</v>
      </c>
      <c r="R459" s="18"/>
      <c r="S459" s="18">
        <f t="shared" si="85"/>
        <v>1743.13</v>
      </c>
      <c r="T459" s="64">
        <f t="shared" si="80"/>
        <v>1917.4430000000002</v>
      </c>
      <c r="U459" s="65"/>
      <c r="V459" s="65"/>
      <c r="W459" s="21">
        <f t="shared" si="83"/>
        <v>0</v>
      </c>
      <c r="X459" s="22">
        <f t="shared" si="81"/>
        <v>1743.13</v>
      </c>
      <c r="Y459" s="35">
        <f t="shared" si="82"/>
        <v>1</v>
      </c>
      <c r="Z459" s="20"/>
      <c r="AA459" s="11"/>
      <c r="AB459" s="20"/>
      <c r="AC459" s="24" t="s">
        <v>73</v>
      </c>
      <c r="AD459" s="10" t="s">
        <v>47</v>
      </c>
      <c r="AE459" s="10">
        <v>43395</v>
      </c>
      <c r="AF459" s="8"/>
      <c r="AG459" s="10">
        <v>43381</v>
      </c>
      <c r="AH459" s="25">
        <f t="shared" si="84"/>
        <v>-14</v>
      </c>
      <c r="AK459" s="27"/>
    </row>
    <row r="460" spans="1:37" s="26" customFormat="1" ht="14.25" customHeight="1" x14ac:dyDescent="0.45">
      <c r="A460" s="28" t="s">
        <v>41</v>
      </c>
      <c r="B460" s="8" t="s">
        <v>146</v>
      </c>
      <c r="C460" s="8" t="s">
        <v>36</v>
      </c>
      <c r="D460" s="9"/>
      <c r="E460" s="9"/>
      <c r="F460" s="10"/>
      <c r="G460" s="11">
        <v>43585</v>
      </c>
      <c r="H460" s="51"/>
      <c r="I460" s="52"/>
      <c r="J460" s="51"/>
      <c r="K460" s="51"/>
      <c r="L460" s="9"/>
      <c r="M460" s="10" t="str">
        <f t="shared" si="78"/>
        <v>Apr-19</v>
      </c>
      <c r="N460" s="10" t="str">
        <f t="shared" si="79"/>
        <v>Jan-00</v>
      </c>
      <c r="O460" s="17" t="s">
        <v>1100</v>
      </c>
      <c r="P460" s="17" t="s">
        <v>1101</v>
      </c>
      <c r="Q460" s="18">
        <v>1415.68</v>
      </c>
      <c r="R460" s="18"/>
      <c r="S460" s="18">
        <f t="shared" si="85"/>
        <v>1415.68</v>
      </c>
      <c r="T460" s="64">
        <f t="shared" si="80"/>
        <v>1557.2480000000003</v>
      </c>
      <c r="U460" s="65">
        <v>300</v>
      </c>
      <c r="V460" s="65"/>
      <c r="W460" s="21">
        <f t="shared" si="83"/>
        <v>300</v>
      </c>
      <c r="X460" s="22">
        <f t="shared" si="81"/>
        <v>1115.68</v>
      </c>
      <c r="Y460" s="35">
        <f t="shared" si="82"/>
        <v>0.7880877034358047</v>
      </c>
      <c r="Z460" s="20"/>
      <c r="AA460" s="11"/>
      <c r="AB460" s="20"/>
      <c r="AC460" s="24" t="s">
        <v>73</v>
      </c>
      <c r="AD460" s="10" t="s">
        <v>47</v>
      </c>
      <c r="AE460" s="10">
        <v>43396</v>
      </c>
      <c r="AF460" s="8"/>
      <c r="AG460" s="10">
        <v>43442</v>
      </c>
      <c r="AH460" s="25">
        <f t="shared" si="84"/>
        <v>46</v>
      </c>
      <c r="AK460" s="27"/>
    </row>
    <row r="461" spans="1:37" s="26" customFormat="1" ht="14.25" customHeight="1" x14ac:dyDescent="0.45">
      <c r="A461" s="28" t="s">
        <v>41</v>
      </c>
      <c r="B461" s="8" t="s">
        <v>146</v>
      </c>
      <c r="C461" s="8" t="s">
        <v>36</v>
      </c>
      <c r="D461" s="9"/>
      <c r="E461" s="9"/>
      <c r="F461" s="10"/>
      <c r="G461" s="11">
        <v>43585</v>
      </c>
      <c r="H461" s="51"/>
      <c r="I461" s="52"/>
      <c r="J461" s="51"/>
      <c r="K461" s="51"/>
      <c r="L461" s="9"/>
      <c r="M461" s="10" t="str">
        <f t="shared" si="78"/>
        <v>Apr-19</v>
      </c>
      <c r="N461" s="10" t="str">
        <f t="shared" si="79"/>
        <v>Jan-00</v>
      </c>
      <c r="O461" s="17" t="s">
        <v>1102</v>
      </c>
      <c r="P461" s="33" t="s">
        <v>50</v>
      </c>
      <c r="Q461" s="18">
        <v>1922.68</v>
      </c>
      <c r="R461" s="18"/>
      <c r="S461" s="18">
        <f t="shared" si="85"/>
        <v>1922.68</v>
      </c>
      <c r="T461" s="64">
        <f t="shared" si="80"/>
        <v>2114.9480000000003</v>
      </c>
      <c r="U461" s="65">
        <v>300</v>
      </c>
      <c r="V461" s="65"/>
      <c r="W461" s="21">
        <f t="shared" si="83"/>
        <v>300</v>
      </c>
      <c r="X461" s="22">
        <f t="shared" si="81"/>
        <v>1622.68</v>
      </c>
      <c r="Y461" s="35">
        <f t="shared" si="82"/>
        <v>0.84396779495287833</v>
      </c>
      <c r="Z461" s="20"/>
      <c r="AA461" s="11"/>
      <c r="AB461" s="20"/>
      <c r="AC461" s="24" t="s">
        <v>73</v>
      </c>
      <c r="AD461" s="10" t="s">
        <v>47</v>
      </c>
      <c r="AE461" s="10">
        <v>43396</v>
      </c>
      <c r="AF461" s="8"/>
      <c r="AG461" s="10">
        <v>43442</v>
      </c>
      <c r="AH461" s="25">
        <f t="shared" si="84"/>
        <v>46</v>
      </c>
      <c r="AK461" s="27"/>
    </row>
    <row r="462" spans="1:37" s="26" customFormat="1" ht="14.25" customHeight="1" x14ac:dyDescent="0.45">
      <c r="A462" s="28" t="s">
        <v>41</v>
      </c>
      <c r="B462" s="8" t="s">
        <v>42</v>
      </c>
      <c r="C462" s="28" t="s">
        <v>43</v>
      </c>
      <c r="D462" s="9"/>
      <c r="E462" s="9"/>
      <c r="F462" s="10">
        <v>43529</v>
      </c>
      <c r="G462" s="10">
        <v>43529</v>
      </c>
      <c r="H462" s="10">
        <v>43529</v>
      </c>
      <c r="I462" s="52"/>
      <c r="J462" s="14">
        <f t="shared" ref="J462:J467" si="86">G462+14</f>
        <v>43543</v>
      </c>
      <c r="K462" s="51">
        <f>J462+14</f>
        <v>43557</v>
      </c>
      <c r="L462" s="9"/>
      <c r="M462" s="10" t="str">
        <f t="shared" si="78"/>
        <v>Mar-19</v>
      </c>
      <c r="N462" s="10" t="str">
        <f t="shared" si="79"/>
        <v>Apr-19</v>
      </c>
      <c r="O462" s="17" t="s">
        <v>1103</v>
      </c>
      <c r="P462" s="33" t="s">
        <v>328</v>
      </c>
      <c r="Q462" s="18">
        <v>1037.08</v>
      </c>
      <c r="R462" s="18">
        <v>13389.36</v>
      </c>
      <c r="S462" s="18">
        <f t="shared" si="85"/>
        <v>14426.44</v>
      </c>
      <c r="T462" s="64">
        <f t="shared" si="80"/>
        <v>15869.084000000003</v>
      </c>
      <c r="U462" s="65">
        <v>8936.6500000000015</v>
      </c>
      <c r="V462" s="65"/>
      <c r="W462" s="21">
        <f t="shared" si="83"/>
        <v>8936.6500000000015</v>
      </c>
      <c r="X462" s="46">
        <f t="shared" si="81"/>
        <v>5489.7899999999991</v>
      </c>
      <c r="Y462" s="35">
        <f t="shared" si="82"/>
        <v>0.38053670898710967</v>
      </c>
      <c r="Z462" s="20"/>
      <c r="AA462" s="11"/>
      <c r="AB462" s="20"/>
      <c r="AC462" s="24" t="s">
        <v>73</v>
      </c>
      <c r="AD462" s="10" t="s">
        <v>47</v>
      </c>
      <c r="AE462" s="10">
        <v>43396</v>
      </c>
      <c r="AF462" s="8"/>
      <c r="AG462" s="10">
        <v>43442</v>
      </c>
      <c r="AH462" s="25">
        <f t="shared" si="84"/>
        <v>46</v>
      </c>
      <c r="AK462" s="27"/>
    </row>
    <row r="463" spans="1:37" s="26" customFormat="1" ht="14.25" customHeight="1" x14ac:dyDescent="0.45">
      <c r="A463" s="8" t="s">
        <v>34</v>
      </c>
      <c r="B463" s="8" t="s">
        <v>357</v>
      </c>
      <c r="C463" s="8" t="s">
        <v>57</v>
      </c>
      <c r="D463" s="9" t="s">
        <v>1104</v>
      </c>
      <c r="E463" s="9">
        <v>43439</v>
      </c>
      <c r="F463" s="10">
        <v>43409</v>
      </c>
      <c r="G463" s="11">
        <v>43409</v>
      </c>
      <c r="H463" s="77">
        <v>43411</v>
      </c>
      <c r="I463" s="85">
        <v>43426</v>
      </c>
      <c r="J463" s="14">
        <f t="shared" si="86"/>
        <v>43423</v>
      </c>
      <c r="K463" s="77">
        <v>43438</v>
      </c>
      <c r="L463" s="9"/>
      <c r="M463" s="10" t="str">
        <f t="shared" si="78"/>
        <v>Nov-18</v>
      </c>
      <c r="N463" s="10" t="str">
        <f t="shared" si="79"/>
        <v>Dec-18</v>
      </c>
      <c r="O463" s="17" t="s">
        <v>1105</v>
      </c>
      <c r="P463" s="33" t="s">
        <v>1106</v>
      </c>
      <c r="Q463" s="18">
        <v>3248.5</v>
      </c>
      <c r="R463" s="18">
        <v>357.12</v>
      </c>
      <c r="S463" s="18">
        <f t="shared" si="85"/>
        <v>3605.62</v>
      </c>
      <c r="T463" s="64">
        <f t="shared" si="80"/>
        <v>3966.1820000000002</v>
      </c>
      <c r="U463" s="65"/>
      <c r="V463" s="65">
        <v>541.83415999999988</v>
      </c>
      <c r="W463" s="21">
        <f t="shared" si="83"/>
        <v>541.83415999999988</v>
      </c>
      <c r="X463" s="22">
        <f t="shared" si="81"/>
        <v>3063.78584</v>
      </c>
      <c r="Y463" s="35">
        <f t="shared" si="82"/>
        <v>0.84972510691642489</v>
      </c>
      <c r="Z463" s="20"/>
      <c r="AA463" s="11"/>
      <c r="AB463" s="20"/>
      <c r="AC463" s="24" t="s">
        <v>69</v>
      </c>
      <c r="AD463" s="10">
        <v>43385</v>
      </c>
      <c r="AE463" s="10">
        <v>43396</v>
      </c>
      <c r="AF463" s="63">
        <f>AE463-AD463</f>
        <v>11</v>
      </c>
      <c r="AG463" s="10">
        <v>43468</v>
      </c>
      <c r="AH463" s="25">
        <f t="shared" si="84"/>
        <v>72</v>
      </c>
      <c r="AK463" s="27"/>
    </row>
    <row r="464" spans="1:37" s="26" customFormat="1" ht="14.25" customHeight="1" x14ac:dyDescent="0.45">
      <c r="A464" s="8" t="s">
        <v>34</v>
      </c>
      <c r="B464" s="8" t="s">
        <v>35</v>
      </c>
      <c r="C464" s="8" t="s">
        <v>43</v>
      </c>
      <c r="D464" s="9" t="s">
        <v>1107</v>
      </c>
      <c r="E464" s="9">
        <v>43481</v>
      </c>
      <c r="F464" s="10">
        <v>43425</v>
      </c>
      <c r="G464" s="11">
        <v>43425</v>
      </c>
      <c r="H464" s="15">
        <v>43433</v>
      </c>
      <c r="I464" s="49">
        <v>43452</v>
      </c>
      <c r="J464" s="14">
        <f t="shared" si="86"/>
        <v>43439</v>
      </c>
      <c r="K464" s="14">
        <v>43475</v>
      </c>
      <c r="L464" s="9"/>
      <c r="M464" s="10" t="str">
        <f t="shared" si="78"/>
        <v>Nov-18</v>
      </c>
      <c r="N464" s="10" t="str">
        <f t="shared" si="79"/>
        <v>Jan-19</v>
      </c>
      <c r="O464" s="17" t="s">
        <v>1108</v>
      </c>
      <c r="P464" s="33" t="s">
        <v>1109</v>
      </c>
      <c r="Q464" s="18">
        <v>9442.59</v>
      </c>
      <c r="R464" s="18">
        <v>-6319.07</v>
      </c>
      <c r="S464" s="18">
        <f t="shared" si="85"/>
        <v>3123.5200000000004</v>
      </c>
      <c r="T464" s="64">
        <f t="shared" si="80"/>
        <v>3435.8720000000008</v>
      </c>
      <c r="U464" s="65">
        <v>693.05</v>
      </c>
      <c r="V464" s="65">
        <v>860.37903999999992</v>
      </c>
      <c r="W464" s="21">
        <f t="shared" si="83"/>
        <v>1553.42904</v>
      </c>
      <c r="X464" s="22">
        <f t="shared" si="81"/>
        <v>1570.0909600000005</v>
      </c>
      <c r="Y464" s="35">
        <f t="shared" si="82"/>
        <v>0.50266717037188824</v>
      </c>
      <c r="Z464" s="20"/>
      <c r="AA464" s="11"/>
      <c r="AB464" s="20"/>
      <c r="AC464" s="24" t="s">
        <v>73</v>
      </c>
      <c r="AD464" s="10">
        <v>43389</v>
      </c>
      <c r="AE464" s="10">
        <v>43396</v>
      </c>
      <c r="AF464" s="63">
        <f>AE464-AD464</f>
        <v>7</v>
      </c>
      <c r="AG464" s="10">
        <v>43465</v>
      </c>
      <c r="AH464" s="25">
        <f t="shared" si="84"/>
        <v>69</v>
      </c>
      <c r="AK464" s="27"/>
    </row>
    <row r="465" spans="1:37" s="26" customFormat="1" ht="14.25" customHeight="1" x14ac:dyDescent="0.45">
      <c r="A465" s="8" t="s">
        <v>34</v>
      </c>
      <c r="B465" s="8" t="s">
        <v>336</v>
      </c>
      <c r="C465" s="8" t="s">
        <v>1110</v>
      </c>
      <c r="D465" s="9" t="s">
        <v>1111</v>
      </c>
      <c r="E465" s="9">
        <v>43483</v>
      </c>
      <c r="F465" s="10">
        <v>43447</v>
      </c>
      <c r="G465" s="11">
        <v>43447</v>
      </c>
      <c r="H465" s="67"/>
      <c r="I465" s="68"/>
      <c r="J465" s="14">
        <f t="shared" si="86"/>
        <v>43461</v>
      </c>
      <c r="K465" s="15">
        <v>43487</v>
      </c>
      <c r="L465" s="9"/>
      <c r="M465" s="10" t="str">
        <f t="shared" si="78"/>
        <v>Dec-18</v>
      </c>
      <c r="N465" s="10" t="str">
        <f t="shared" si="79"/>
        <v>Jan-19</v>
      </c>
      <c r="O465" s="17" t="s">
        <v>1112</v>
      </c>
      <c r="P465" s="33" t="s">
        <v>346</v>
      </c>
      <c r="Q465" s="18">
        <v>4847.75</v>
      </c>
      <c r="R465" s="142"/>
      <c r="S465" s="18">
        <f t="shared" si="85"/>
        <v>4847.75</v>
      </c>
      <c r="T465" s="64">
        <f t="shared" si="80"/>
        <v>5332.5250000000005</v>
      </c>
      <c r="U465" s="65">
        <v>3032.6000000000004</v>
      </c>
      <c r="V465" s="65"/>
      <c r="W465" s="21">
        <f t="shared" si="83"/>
        <v>3032.6000000000004</v>
      </c>
      <c r="X465" s="22">
        <f t="shared" si="81"/>
        <v>1815.1499999999996</v>
      </c>
      <c r="Y465" s="35">
        <f t="shared" si="82"/>
        <v>0.37443143726471034</v>
      </c>
      <c r="Z465" s="20"/>
      <c r="AA465" s="11"/>
      <c r="AB465" s="20"/>
      <c r="AC465" s="24" t="s">
        <v>69</v>
      </c>
      <c r="AD465" s="10">
        <v>43389</v>
      </c>
      <c r="AE465" s="10">
        <v>43396</v>
      </c>
      <c r="AF465" s="8"/>
      <c r="AG465" s="10">
        <v>43472</v>
      </c>
      <c r="AH465" s="25">
        <f t="shared" si="84"/>
        <v>76</v>
      </c>
      <c r="AK465" s="27"/>
    </row>
    <row r="466" spans="1:37" s="26" customFormat="1" ht="14.25" customHeight="1" x14ac:dyDescent="0.45">
      <c r="A466" s="28" t="s">
        <v>41</v>
      </c>
      <c r="B466" s="8" t="s">
        <v>35</v>
      </c>
      <c r="C466" s="8" t="s">
        <v>43</v>
      </c>
      <c r="D466" s="9" t="s">
        <v>1113</v>
      </c>
      <c r="E466" s="9">
        <v>43483</v>
      </c>
      <c r="F466" s="10">
        <v>43433</v>
      </c>
      <c r="G466" s="11">
        <v>43433</v>
      </c>
      <c r="H466" s="14">
        <v>43441</v>
      </c>
      <c r="I466" s="54">
        <v>43455</v>
      </c>
      <c r="J466" s="14">
        <f t="shared" si="86"/>
        <v>43447</v>
      </c>
      <c r="K466" s="15">
        <v>43487</v>
      </c>
      <c r="L466" s="9"/>
      <c r="M466" s="10" t="str">
        <f t="shared" si="78"/>
        <v>Nov-18</v>
      </c>
      <c r="N466" s="10" t="str">
        <f t="shared" si="79"/>
        <v>Jan-19</v>
      </c>
      <c r="O466" s="16" t="s">
        <v>1114</v>
      </c>
      <c r="P466" s="18" t="s">
        <v>370</v>
      </c>
      <c r="Q466" s="18">
        <v>957.85</v>
      </c>
      <c r="R466" s="18">
        <v>13993.23</v>
      </c>
      <c r="S466" s="18">
        <f t="shared" si="85"/>
        <v>14951.08</v>
      </c>
      <c r="T466" s="64">
        <f t="shared" si="80"/>
        <v>16446.188000000002</v>
      </c>
      <c r="U466" s="65">
        <v>4336.41</v>
      </c>
      <c r="V466" s="65"/>
      <c r="W466" s="21">
        <f t="shared" si="83"/>
        <v>4336.41</v>
      </c>
      <c r="X466" s="22">
        <f t="shared" si="81"/>
        <v>10614.67</v>
      </c>
      <c r="Y466" s="35">
        <f t="shared" si="82"/>
        <v>0.70996008315118375</v>
      </c>
      <c r="Z466" s="20"/>
      <c r="AA466" s="11">
        <f>G466+14</f>
        <v>43447</v>
      </c>
      <c r="AB466" s="20"/>
      <c r="AC466" s="24" t="s">
        <v>73</v>
      </c>
      <c r="AD466" s="10" t="s">
        <v>47</v>
      </c>
      <c r="AE466" s="10">
        <v>43286</v>
      </c>
      <c r="AF466" s="8"/>
      <c r="AG466" s="10">
        <v>43371</v>
      </c>
      <c r="AH466" s="25">
        <f t="shared" si="84"/>
        <v>85</v>
      </c>
      <c r="AK466" s="27"/>
    </row>
    <row r="467" spans="1:37" s="26" customFormat="1" ht="14.25" customHeight="1" x14ac:dyDescent="0.45">
      <c r="A467" s="28" t="s">
        <v>41</v>
      </c>
      <c r="B467" s="8" t="s">
        <v>42</v>
      </c>
      <c r="C467" s="28" t="s">
        <v>43</v>
      </c>
      <c r="D467" s="9"/>
      <c r="E467" s="9"/>
      <c r="F467" s="10">
        <v>43543</v>
      </c>
      <c r="G467" s="11">
        <v>43543</v>
      </c>
      <c r="H467" s="51"/>
      <c r="I467" s="52"/>
      <c r="J467" s="51">
        <f t="shared" si="86"/>
        <v>43557</v>
      </c>
      <c r="K467" s="51">
        <f>J467+14</f>
        <v>43571</v>
      </c>
      <c r="L467" s="9"/>
      <c r="M467" s="10" t="str">
        <f t="shared" si="78"/>
        <v>Mar-19</v>
      </c>
      <c r="N467" s="10" t="str">
        <f t="shared" si="79"/>
        <v>Apr-19</v>
      </c>
      <c r="O467" s="17" t="s">
        <v>1115</v>
      </c>
      <c r="P467" s="33" t="s">
        <v>1116</v>
      </c>
      <c r="Q467" s="18">
        <v>8939.74</v>
      </c>
      <c r="R467" s="18"/>
      <c r="S467" s="18">
        <f t="shared" si="85"/>
        <v>8939.74</v>
      </c>
      <c r="T467" s="64">
        <f t="shared" si="80"/>
        <v>9833.7139999999999</v>
      </c>
      <c r="U467" s="65">
        <v>9605.9399999999987</v>
      </c>
      <c r="V467" s="65"/>
      <c r="W467" s="78">
        <f t="shared" si="83"/>
        <v>9605.9399999999987</v>
      </c>
      <c r="X467" s="79">
        <f t="shared" si="81"/>
        <v>-666.19999999999891</v>
      </c>
      <c r="Y467" s="80">
        <f t="shared" si="82"/>
        <v>-7.4521182942680536E-2</v>
      </c>
      <c r="Z467" s="20"/>
      <c r="AA467" s="11"/>
      <c r="AB467" s="20"/>
      <c r="AC467" s="24" t="s">
        <v>73</v>
      </c>
      <c r="AD467" s="10" t="s">
        <v>47</v>
      </c>
      <c r="AE467" s="10">
        <v>43398</v>
      </c>
      <c r="AF467" s="8"/>
      <c r="AG467" s="10">
        <v>43445</v>
      </c>
      <c r="AH467" s="25">
        <f t="shared" si="84"/>
        <v>47</v>
      </c>
      <c r="AK467" s="27"/>
    </row>
    <row r="468" spans="1:37" s="26" customFormat="1" ht="14.25" customHeight="1" x14ac:dyDescent="0.45">
      <c r="A468" s="28" t="s">
        <v>41</v>
      </c>
      <c r="B468" s="8" t="s">
        <v>56</v>
      </c>
      <c r="C468" s="8" t="s">
        <v>57</v>
      </c>
      <c r="D468" s="9"/>
      <c r="E468" s="9"/>
      <c r="F468" s="10"/>
      <c r="G468" s="11">
        <v>43585</v>
      </c>
      <c r="H468" s="51"/>
      <c r="I468" s="52"/>
      <c r="J468" s="51"/>
      <c r="K468" s="51"/>
      <c r="L468" s="9"/>
      <c r="M468" s="10" t="str">
        <f t="shared" si="78"/>
        <v>Apr-19</v>
      </c>
      <c r="N468" s="10" t="str">
        <f t="shared" si="79"/>
        <v>Jan-00</v>
      </c>
      <c r="O468" s="17" t="s">
        <v>1117</v>
      </c>
      <c r="P468" s="33" t="s">
        <v>54</v>
      </c>
      <c r="Q468" s="18">
        <v>904.4</v>
      </c>
      <c r="R468" s="18"/>
      <c r="S468" s="18">
        <f t="shared" si="85"/>
        <v>904.4</v>
      </c>
      <c r="T468" s="64">
        <f t="shared" si="80"/>
        <v>994.84</v>
      </c>
      <c r="U468" s="65">
        <v>300</v>
      </c>
      <c r="V468" s="65"/>
      <c r="W468" s="21">
        <f t="shared" si="83"/>
        <v>300</v>
      </c>
      <c r="X468" s="22">
        <f t="shared" si="81"/>
        <v>604.4</v>
      </c>
      <c r="Y468" s="35">
        <f t="shared" si="82"/>
        <v>0.66828836797877045</v>
      </c>
      <c r="Z468" s="20"/>
      <c r="AA468" s="11"/>
      <c r="AB468" s="20"/>
      <c r="AC468" s="24" t="s">
        <v>73</v>
      </c>
      <c r="AD468" s="10" t="s">
        <v>47</v>
      </c>
      <c r="AE468" s="10">
        <v>43398</v>
      </c>
      <c r="AF468" s="8"/>
      <c r="AG468" s="10">
        <v>43445</v>
      </c>
      <c r="AH468" s="25">
        <f t="shared" si="84"/>
        <v>47</v>
      </c>
      <c r="AK468" s="27"/>
    </row>
    <row r="469" spans="1:37" s="26" customFormat="1" ht="14.25" customHeight="1" x14ac:dyDescent="0.45">
      <c r="A469" s="28" t="s">
        <v>41</v>
      </c>
      <c r="B469" s="8" t="s">
        <v>146</v>
      </c>
      <c r="C469" s="8" t="s">
        <v>36</v>
      </c>
      <c r="D469" s="9"/>
      <c r="E469" s="9"/>
      <c r="F469" s="10"/>
      <c r="G469" s="11">
        <v>43585</v>
      </c>
      <c r="H469" s="51"/>
      <c r="I469" s="52"/>
      <c r="J469" s="51"/>
      <c r="K469" s="51"/>
      <c r="L469" s="9"/>
      <c r="M469" s="10" t="str">
        <f t="shared" si="78"/>
        <v>Apr-19</v>
      </c>
      <c r="N469" s="10" t="str">
        <f t="shared" si="79"/>
        <v>Jan-00</v>
      </c>
      <c r="O469" s="17" t="s">
        <v>1118</v>
      </c>
      <c r="P469" s="33" t="s">
        <v>124</v>
      </c>
      <c r="Q469" s="18">
        <v>1318.69</v>
      </c>
      <c r="R469" s="18"/>
      <c r="S469" s="18">
        <f t="shared" si="85"/>
        <v>1318.69</v>
      </c>
      <c r="T469" s="64">
        <f t="shared" si="80"/>
        <v>1450.5590000000002</v>
      </c>
      <c r="U469" s="65"/>
      <c r="V469" s="65"/>
      <c r="W469" s="21">
        <f t="shared" si="83"/>
        <v>0</v>
      </c>
      <c r="X469" s="22">
        <f t="shared" si="81"/>
        <v>1318.69</v>
      </c>
      <c r="Y469" s="35">
        <f t="shared" si="82"/>
        <v>1</v>
      </c>
      <c r="Z469" s="20"/>
      <c r="AA469" s="11"/>
      <c r="AB469" s="20"/>
      <c r="AC469" s="24" t="s">
        <v>73</v>
      </c>
      <c r="AD469" s="10" t="s">
        <v>47</v>
      </c>
      <c r="AE469" s="10">
        <v>43398</v>
      </c>
      <c r="AF469" s="8"/>
      <c r="AG469" s="10">
        <v>43445</v>
      </c>
      <c r="AH469" s="25">
        <f t="shared" si="84"/>
        <v>47</v>
      </c>
      <c r="AK469" s="27"/>
    </row>
    <row r="470" spans="1:37" s="26" customFormat="1" ht="14.25" customHeight="1" x14ac:dyDescent="0.45">
      <c r="A470" s="28" t="s">
        <v>41</v>
      </c>
      <c r="B470" s="8" t="s">
        <v>357</v>
      </c>
      <c r="C470" s="8" t="s">
        <v>57</v>
      </c>
      <c r="D470" s="9"/>
      <c r="E470" s="9"/>
      <c r="F470" s="10"/>
      <c r="G470" s="11">
        <v>43615</v>
      </c>
      <c r="H470" s="51"/>
      <c r="I470" s="52"/>
      <c r="J470" s="51"/>
      <c r="K470" s="51"/>
      <c r="L470" s="9"/>
      <c r="M470" s="10" t="str">
        <f t="shared" si="78"/>
        <v>May-19</v>
      </c>
      <c r="N470" s="10" t="str">
        <f t="shared" si="79"/>
        <v>Jan-00</v>
      </c>
      <c r="O470" s="17" t="s">
        <v>1119</v>
      </c>
      <c r="P470" s="33" t="s">
        <v>1120</v>
      </c>
      <c r="Q470" s="18">
        <v>1884.19</v>
      </c>
      <c r="R470" s="18"/>
      <c r="S470" s="18">
        <f t="shared" si="85"/>
        <v>1884.19</v>
      </c>
      <c r="T470" s="64">
        <f t="shared" si="80"/>
        <v>2072.6090000000004</v>
      </c>
      <c r="U470" s="65"/>
      <c r="V470" s="65"/>
      <c r="W470" s="21">
        <f t="shared" si="83"/>
        <v>0</v>
      </c>
      <c r="X470" s="22">
        <f t="shared" si="81"/>
        <v>1884.19</v>
      </c>
      <c r="Y470" s="35">
        <f t="shared" si="82"/>
        <v>1</v>
      </c>
      <c r="Z470" s="20"/>
      <c r="AA470" s="11"/>
      <c r="AB470" s="20"/>
      <c r="AC470" s="24" t="s">
        <v>73</v>
      </c>
      <c r="AD470" s="10" t="s">
        <v>47</v>
      </c>
      <c r="AE470" s="10">
        <v>43399</v>
      </c>
      <c r="AF470" s="8"/>
      <c r="AG470" s="10">
        <v>43445</v>
      </c>
      <c r="AH470" s="25">
        <f t="shared" si="84"/>
        <v>46</v>
      </c>
      <c r="AK470" s="27"/>
    </row>
    <row r="471" spans="1:37" s="26" customFormat="1" ht="14.25" customHeight="1" x14ac:dyDescent="0.45">
      <c r="A471" s="28" t="s">
        <v>41</v>
      </c>
      <c r="B471" s="8" t="s">
        <v>739</v>
      </c>
      <c r="C471" s="28" t="s">
        <v>43</v>
      </c>
      <c r="D471" s="9"/>
      <c r="E471" s="9"/>
      <c r="F471" s="10"/>
      <c r="G471" s="11">
        <v>43585</v>
      </c>
      <c r="H471" s="51"/>
      <c r="I471" s="52"/>
      <c r="J471" s="51"/>
      <c r="K471" s="51"/>
      <c r="L471" s="9"/>
      <c r="M471" s="10" t="str">
        <f t="shared" si="78"/>
        <v>Apr-19</v>
      </c>
      <c r="N471" s="10" t="str">
        <f t="shared" si="79"/>
        <v>Jan-00</v>
      </c>
      <c r="O471" s="17" t="s">
        <v>1121</v>
      </c>
      <c r="P471" s="33" t="s">
        <v>955</v>
      </c>
      <c r="Q471" s="18">
        <v>2136.35</v>
      </c>
      <c r="R471" s="18"/>
      <c r="S471" s="18">
        <f t="shared" si="85"/>
        <v>2136.35</v>
      </c>
      <c r="T471" s="64">
        <f t="shared" si="80"/>
        <v>2349.9850000000001</v>
      </c>
      <c r="U471" s="65">
        <v>1001.75</v>
      </c>
      <c r="V471" s="65"/>
      <c r="W471" s="21">
        <f t="shared" si="83"/>
        <v>1001.75</v>
      </c>
      <c r="X471" s="22">
        <f t="shared" si="81"/>
        <v>1134.5999999999999</v>
      </c>
      <c r="Y471" s="35">
        <f t="shared" si="82"/>
        <v>0.53109275165586156</v>
      </c>
      <c r="Z471" s="20"/>
      <c r="AA471" s="11"/>
      <c r="AB471" s="20"/>
      <c r="AC471" s="24" t="s">
        <v>73</v>
      </c>
      <c r="AD471" s="10" t="s">
        <v>47</v>
      </c>
      <c r="AE471" s="10">
        <v>43399</v>
      </c>
      <c r="AF471" s="8"/>
      <c r="AG471" s="10">
        <v>43445</v>
      </c>
      <c r="AH471" s="25">
        <f t="shared" si="84"/>
        <v>46</v>
      </c>
      <c r="AK471" s="27"/>
    </row>
    <row r="472" spans="1:37" s="26" customFormat="1" ht="14.25" customHeight="1" x14ac:dyDescent="0.45">
      <c r="A472" s="28" t="s">
        <v>41</v>
      </c>
      <c r="B472" s="8" t="s">
        <v>35</v>
      </c>
      <c r="C472" s="8" t="s">
        <v>43</v>
      </c>
      <c r="D472" s="9" t="s">
        <v>1122</v>
      </c>
      <c r="E472" s="9">
        <v>43483</v>
      </c>
      <c r="F472" s="10">
        <v>43437</v>
      </c>
      <c r="G472" s="11">
        <v>43437</v>
      </c>
      <c r="H472" s="14">
        <v>43445</v>
      </c>
      <c r="I472" s="54">
        <v>43455</v>
      </c>
      <c r="J472" s="14">
        <f>G472+14</f>
        <v>43451</v>
      </c>
      <c r="K472" s="15">
        <v>43487</v>
      </c>
      <c r="L472" s="9"/>
      <c r="M472" s="10" t="str">
        <f t="shared" si="78"/>
        <v>Dec-18</v>
      </c>
      <c r="N472" s="10" t="str">
        <f t="shared" si="79"/>
        <v>Jan-19</v>
      </c>
      <c r="O472" s="17" t="s">
        <v>1123</v>
      </c>
      <c r="P472" s="33" t="s">
        <v>54</v>
      </c>
      <c r="Q472" s="18">
        <v>2551.6799999999998</v>
      </c>
      <c r="R472" s="18">
        <v>13471.600000000002</v>
      </c>
      <c r="S472" s="18">
        <f t="shared" si="85"/>
        <v>16023.280000000002</v>
      </c>
      <c r="T472" s="64">
        <f t="shared" si="80"/>
        <v>17625.608000000004</v>
      </c>
      <c r="U472" s="65">
        <v>5010.42</v>
      </c>
      <c r="V472" s="34"/>
      <c r="W472" s="21">
        <f t="shared" si="83"/>
        <v>5010.42</v>
      </c>
      <c r="X472" s="22">
        <f t="shared" si="81"/>
        <v>11012.860000000002</v>
      </c>
      <c r="Y472" s="35">
        <f t="shared" si="82"/>
        <v>0.68730372308291443</v>
      </c>
      <c r="Z472" s="20"/>
      <c r="AA472" s="11"/>
      <c r="AB472" s="20"/>
      <c r="AC472" s="24" t="s">
        <v>73</v>
      </c>
      <c r="AD472" s="10" t="s">
        <v>47</v>
      </c>
      <c r="AE472" s="10">
        <v>43399</v>
      </c>
      <c r="AF472" s="8"/>
      <c r="AG472" s="10">
        <v>43445</v>
      </c>
      <c r="AH472" s="25">
        <f t="shared" si="84"/>
        <v>46</v>
      </c>
      <c r="AK472" s="27"/>
    </row>
    <row r="473" spans="1:37" s="26" customFormat="1" ht="14.25" customHeight="1" x14ac:dyDescent="0.45">
      <c r="A473" s="28" t="s">
        <v>41</v>
      </c>
      <c r="B473" s="8" t="s">
        <v>297</v>
      </c>
      <c r="C473" s="28" t="s">
        <v>43</v>
      </c>
      <c r="D473" s="9"/>
      <c r="E473" s="9"/>
      <c r="F473" s="10"/>
      <c r="G473" s="11">
        <v>43554</v>
      </c>
      <c r="H473" s="51"/>
      <c r="I473" s="52"/>
      <c r="J473" s="51"/>
      <c r="K473" s="51"/>
      <c r="L473" s="9"/>
      <c r="M473" s="10" t="str">
        <f t="shared" si="78"/>
        <v>Mar-19</v>
      </c>
      <c r="N473" s="10" t="str">
        <f t="shared" si="79"/>
        <v>Jan-00</v>
      </c>
      <c r="O473" s="17" t="s">
        <v>1124</v>
      </c>
      <c r="P473" s="33" t="s">
        <v>960</v>
      </c>
      <c r="Q473" s="18">
        <v>3268.06</v>
      </c>
      <c r="R473" s="18"/>
      <c r="S473" s="18">
        <f t="shared" si="85"/>
        <v>3268.06</v>
      </c>
      <c r="T473" s="64">
        <f t="shared" si="80"/>
        <v>3594.8660000000004</v>
      </c>
      <c r="U473" s="65"/>
      <c r="V473" s="65"/>
      <c r="W473" s="21">
        <f t="shared" si="83"/>
        <v>0</v>
      </c>
      <c r="X473" s="22">
        <f t="shared" si="81"/>
        <v>3268.06</v>
      </c>
      <c r="Y473" s="35">
        <f t="shared" si="82"/>
        <v>1</v>
      </c>
      <c r="Z473" s="20"/>
      <c r="AA473" s="11"/>
      <c r="AB473" s="20"/>
      <c r="AC473" s="24" t="s">
        <v>73</v>
      </c>
      <c r="AD473" s="10" t="s">
        <v>47</v>
      </c>
      <c r="AE473" s="10">
        <v>43402</v>
      </c>
      <c r="AF473" s="8"/>
      <c r="AG473" s="10">
        <v>43480</v>
      </c>
      <c r="AH473" s="25">
        <f t="shared" si="84"/>
        <v>78</v>
      </c>
      <c r="AK473" s="27"/>
    </row>
    <row r="474" spans="1:37" s="26" customFormat="1" ht="14.25" customHeight="1" x14ac:dyDescent="0.45">
      <c r="A474" s="28" t="s">
        <v>41</v>
      </c>
      <c r="B474" s="8" t="s">
        <v>65</v>
      </c>
      <c r="C474" s="8" t="s">
        <v>57</v>
      </c>
      <c r="D474" s="9" t="s">
        <v>1125</v>
      </c>
      <c r="E474" s="9">
        <v>43454</v>
      </c>
      <c r="F474" s="10">
        <v>43424</v>
      </c>
      <c r="G474" s="11">
        <v>43424</v>
      </c>
      <c r="H474" s="67"/>
      <c r="I474" s="68"/>
      <c r="J474" s="14">
        <f>G474+14</f>
        <v>43438</v>
      </c>
      <c r="K474" s="14">
        <v>43452</v>
      </c>
      <c r="L474" s="9"/>
      <c r="M474" s="10" t="str">
        <f t="shared" si="78"/>
        <v>Nov-18</v>
      </c>
      <c r="N474" s="10" t="str">
        <f t="shared" si="79"/>
        <v>Dec-18</v>
      </c>
      <c r="O474" s="16" t="s">
        <v>1126</v>
      </c>
      <c r="P474" s="18" t="s">
        <v>68</v>
      </c>
      <c r="Q474" s="18">
        <v>1592.08</v>
      </c>
      <c r="R474" s="142"/>
      <c r="S474" s="18">
        <f t="shared" si="85"/>
        <v>1592.08</v>
      </c>
      <c r="T474" s="64">
        <f t="shared" si="80"/>
        <v>1751.288</v>
      </c>
      <c r="U474" s="65"/>
      <c r="V474" s="65"/>
      <c r="W474" s="21">
        <f t="shared" si="83"/>
        <v>0</v>
      </c>
      <c r="X474" s="22">
        <f t="shared" si="81"/>
        <v>1592.08</v>
      </c>
      <c r="Y474" s="35">
        <f t="shared" si="82"/>
        <v>1</v>
      </c>
      <c r="Z474" s="20"/>
      <c r="AA474" s="11"/>
      <c r="AB474" s="20"/>
      <c r="AC474" s="24" t="s">
        <v>152</v>
      </c>
      <c r="AD474" s="10" t="s">
        <v>47</v>
      </c>
      <c r="AE474" s="10">
        <v>43306</v>
      </c>
      <c r="AF474" s="28"/>
      <c r="AG474" s="10">
        <v>43401</v>
      </c>
      <c r="AH474" s="25">
        <f t="shared" si="84"/>
        <v>95</v>
      </c>
      <c r="AK474" s="27"/>
    </row>
    <row r="475" spans="1:37" s="26" customFormat="1" ht="14.25" customHeight="1" x14ac:dyDescent="0.45">
      <c r="A475" s="28" t="s">
        <v>1127</v>
      </c>
      <c r="B475" s="8" t="s">
        <v>35</v>
      </c>
      <c r="C475" s="8" t="s">
        <v>378</v>
      </c>
      <c r="D475" s="9" t="s">
        <v>1128</v>
      </c>
      <c r="E475" s="9">
        <v>43483</v>
      </c>
      <c r="F475" s="10">
        <v>43434</v>
      </c>
      <c r="G475" s="11">
        <v>43434</v>
      </c>
      <c r="H475" s="15">
        <v>43421</v>
      </c>
      <c r="I475" s="49">
        <v>43472</v>
      </c>
      <c r="J475" s="14">
        <f>G475+14</f>
        <v>43448</v>
      </c>
      <c r="K475" s="77">
        <v>43487</v>
      </c>
      <c r="L475" s="9"/>
      <c r="M475" s="10" t="str">
        <f t="shared" si="78"/>
        <v>Nov-18</v>
      </c>
      <c r="N475" s="10" t="str">
        <f t="shared" si="79"/>
        <v>Jan-19</v>
      </c>
      <c r="O475" s="143" t="s">
        <v>1129</v>
      </c>
      <c r="P475" s="144" t="s">
        <v>1101</v>
      </c>
      <c r="Q475" s="18">
        <v>16800</v>
      </c>
      <c r="R475" s="18">
        <v>-5883</v>
      </c>
      <c r="S475" s="18">
        <f t="shared" si="85"/>
        <v>10917</v>
      </c>
      <c r="T475" s="64">
        <f t="shared" si="80"/>
        <v>12008.7</v>
      </c>
      <c r="U475" s="65">
        <v>1495</v>
      </c>
      <c r="V475" s="65"/>
      <c r="W475" s="21">
        <f t="shared" si="83"/>
        <v>1495</v>
      </c>
      <c r="X475" s="22">
        <f t="shared" si="81"/>
        <v>9422</v>
      </c>
      <c r="Y475" s="35">
        <f t="shared" si="82"/>
        <v>0.8630576165613264</v>
      </c>
      <c r="Z475" s="20"/>
      <c r="AA475" s="11"/>
      <c r="AB475" s="20"/>
      <c r="AC475" s="24" t="s">
        <v>1130</v>
      </c>
      <c r="AD475" s="10" t="s">
        <v>47</v>
      </c>
      <c r="AE475" s="10">
        <v>43402</v>
      </c>
      <c r="AF475" s="8"/>
      <c r="AG475" s="10">
        <v>43436</v>
      </c>
      <c r="AH475" s="25">
        <f t="shared" si="84"/>
        <v>34</v>
      </c>
      <c r="AK475" s="27"/>
    </row>
    <row r="476" spans="1:37" s="26" customFormat="1" ht="14.25" customHeight="1" x14ac:dyDescent="0.45">
      <c r="A476" s="28" t="s">
        <v>1127</v>
      </c>
      <c r="B476" s="8" t="s">
        <v>35</v>
      </c>
      <c r="C476" s="8" t="s">
        <v>378</v>
      </c>
      <c r="D476" s="9" t="s">
        <v>1131</v>
      </c>
      <c r="E476" s="9">
        <v>43501</v>
      </c>
      <c r="F476" s="10">
        <v>43454</v>
      </c>
      <c r="G476" s="11">
        <v>43454</v>
      </c>
      <c r="H476" s="14">
        <v>43472</v>
      </c>
      <c r="I476" s="54">
        <v>43479</v>
      </c>
      <c r="J476" s="15">
        <v>43476</v>
      </c>
      <c r="K476" s="15">
        <v>43494</v>
      </c>
      <c r="L476" s="9"/>
      <c r="M476" s="10" t="str">
        <f t="shared" si="78"/>
        <v>Dec-18</v>
      </c>
      <c r="N476" s="10" t="str">
        <f t="shared" si="79"/>
        <v>Jan-19</v>
      </c>
      <c r="O476" s="143" t="s">
        <v>1132</v>
      </c>
      <c r="P476" s="144" t="s">
        <v>1101</v>
      </c>
      <c r="Q476" s="18">
        <v>37960</v>
      </c>
      <c r="R476" s="18">
        <v>19731.490000000002</v>
      </c>
      <c r="S476" s="18">
        <f>Q476+R476</f>
        <v>57691.490000000005</v>
      </c>
      <c r="T476" s="64">
        <f t="shared" si="80"/>
        <v>63460.63900000001</v>
      </c>
      <c r="U476" s="65">
        <v>21285</v>
      </c>
      <c r="V476" s="65"/>
      <c r="W476" s="21">
        <f t="shared" si="83"/>
        <v>21285</v>
      </c>
      <c r="X476" s="22">
        <f t="shared" si="81"/>
        <v>36406.490000000005</v>
      </c>
      <c r="Y476" s="35">
        <f t="shared" si="82"/>
        <v>0.63105477081628503</v>
      </c>
      <c r="Z476" s="20"/>
      <c r="AA476" s="11"/>
      <c r="AB476" s="20"/>
      <c r="AC476" s="24" t="s">
        <v>1130</v>
      </c>
      <c r="AD476" s="10" t="s">
        <v>47</v>
      </c>
      <c r="AE476" s="10">
        <v>43402</v>
      </c>
      <c r="AF476" s="8"/>
      <c r="AG476" s="10">
        <v>43436</v>
      </c>
      <c r="AH476" s="25">
        <f t="shared" si="84"/>
        <v>34</v>
      </c>
      <c r="AK476" s="27"/>
    </row>
    <row r="477" spans="1:37" s="26" customFormat="1" ht="14.25" customHeight="1" x14ac:dyDescent="0.45">
      <c r="A477" s="28" t="s">
        <v>41</v>
      </c>
      <c r="B477" s="8" t="s">
        <v>42</v>
      </c>
      <c r="C477" s="28" t="s">
        <v>43</v>
      </c>
      <c r="D477" s="9"/>
      <c r="E477" s="9"/>
      <c r="F477" s="10"/>
      <c r="G477" s="11">
        <v>43585</v>
      </c>
      <c r="H477" s="51"/>
      <c r="I477" s="52"/>
      <c r="J477" s="51"/>
      <c r="K477" s="51"/>
      <c r="L477" s="9"/>
      <c r="M477" s="10" t="str">
        <f t="shared" si="78"/>
        <v>Apr-19</v>
      </c>
      <c r="N477" s="10" t="str">
        <f t="shared" si="79"/>
        <v>Jan-00</v>
      </c>
      <c r="O477" s="17" t="s">
        <v>1133</v>
      </c>
      <c r="P477" s="33" t="s">
        <v>1134</v>
      </c>
      <c r="Q477" s="18">
        <v>1037.3599999999999</v>
      </c>
      <c r="R477" s="18"/>
      <c r="S477" s="18">
        <f t="shared" ref="S477:S508" si="87">SUM(Q477:R477)</f>
        <v>1037.3599999999999</v>
      </c>
      <c r="T477" s="64">
        <f t="shared" si="80"/>
        <v>1141.096</v>
      </c>
      <c r="U477" s="65"/>
      <c r="V477" s="65"/>
      <c r="W477" s="21">
        <f t="shared" si="83"/>
        <v>0</v>
      </c>
      <c r="X477" s="22">
        <f t="shared" si="81"/>
        <v>1037.3599999999999</v>
      </c>
      <c r="Y477" s="35">
        <f t="shared" si="82"/>
        <v>1</v>
      </c>
      <c r="Z477" s="20"/>
      <c r="AA477" s="11"/>
      <c r="AB477" s="20"/>
      <c r="AC477" s="24" t="s">
        <v>73</v>
      </c>
      <c r="AD477" s="10" t="s">
        <v>47</v>
      </c>
      <c r="AE477" s="10">
        <v>43402</v>
      </c>
      <c r="AF477" s="8"/>
      <c r="AG477" s="10">
        <v>43445</v>
      </c>
      <c r="AH477" s="25">
        <f t="shared" si="84"/>
        <v>43</v>
      </c>
      <c r="AK477" s="27"/>
    </row>
    <row r="478" spans="1:37" s="26" customFormat="1" ht="14.25" customHeight="1" x14ac:dyDescent="0.45">
      <c r="A478" s="8" t="s">
        <v>774</v>
      </c>
      <c r="B478" s="8" t="s">
        <v>146</v>
      </c>
      <c r="C478" s="8" t="s">
        <v>36</v>
      </c>
      <c r="D478" s="9"/>
      <c r="E478" s="9"/>
      <c r="F478" s="10">
        <v>43511</v>
      </c>
      <c r="G478" s="11">
        <v>43511</v>
      </c>
      <c r="H478" s="51">
        <v>43521</v>
      </c>
      <c r="I478" s="52"/>
      <c r="J478" s="14">
        <f>G478+14</f>
        <v>43525</v>
      </c>
      <c r="K478" s="51">
        <f>J478+14</f>
        <v>43539</v>
      </c>
      <c r="L478" s="9"/>
      <c r="M478" s="10" t="str">
        <f t="shared" si="78"/>
        <v>Feb-19</v>
      </c>
      <c r="N478" s="10" t="str">
        <f t="shared" si="79"/>
        <v>Mar-19</v>
      </c>
      <c r="O478" s="113" t="s">
        <v>1135</v>
      </c>
      <c r="P478" s="114" t="s">
        <v>461</v>
      </c>
      <c r="Q478" s="18">
        <f>20671.09-Q479</f>
        <v>14469.76</v>
      </c>
      <c r="R478" s="18">
        <v>83735.009999999995</v>
      </c>
      <c r="S478" s="18">
        <f t="shared" si="87"/>
        <v>98204.76999999999</v>
      </c>
      <c r="T478" s="64">
        <f t="shared" si="80"/>
        <v>108025.247</v>
      </c>
      <c r="U478" s="20">
        <v>64035.560000000005</v>
      </c>
      <c r="V478" s="65"/>
      <c r="W478" s="21">
        <f t="shared" si="83"/>
        <v>64035.560000000005</v>
      </c>
      <c r="X478" s="46">
        <f t="shared" si="81"/>
        <v>34169.209999999985</v>
      </c>
      <c r="Y478" s="35">
        <f t="shared" si="82"/>
        <v>0.34793839443847779</v>
      </c>
      <c r="Z478" s="20"/>
      <c r="AA478" s="11"/>
      <c r="AB478" s="20"/>
      <c r="AC478" s="24" t="s">
        <v>73</v>
      </c>
      <c r="AD478" s="10" t="s">
        <v>47</v>
      </c>
      <c r="AE478" s="10">
        <v>43403</v>
      </c>
      <c r="AF478" s="8"/>
      <c r="AG478" s="10">
        <v>43461</v>
      </c>
      <c r="AH478" s="25">
        <f t="shared" si="84"/>
        <v>58</v>
      </c>
      <c r="AK478" s="27"/>
    </row>
    <row r="479" spans="1:37" s="26" customFormat="1" ht="14.25" customHeight="1" x14ac:dyDescent="0.45">
      <c r="A479" s="8" t="s">
        <v>546</v>
      </c>
      <c r="B479" s="8" t="s">
        <v>35</v>
      </c>
      <c r="C479" s="8" t="s">
        <v>51</v>
      </c>
      <c r="D479" s="9" t="s">
        <v>1136</v>
      </c>
      <c r="E479" s="9">
        <v>43419</v>
      </c>
      <c r="F479" s="10">
        <v>43416</v>
      </c>
      <c r="G479" s="11">
        <v>43416</v>
      </c>
      <c r="H479" s="67"/>
      <c r="I479" s="68"/>
      <c r="J479" s="67"/>
      <c r="K479" s="14">
        <v>43419</v>
      </c>
      <c r="L479" s="9"/>
      <c r="M479" s="10" t="str">
        <f t="shared" si="78"/>
        <v>Nov-18</v>
      </c>
      <c r="N479" s="10" t="str">
        <f t="shared" si="79"/>
        <v>Nov-18</v>
      </c>
      <c r="O479" s="113" t="s">
        <v>1135</v>
      </c>
      <c r="P479" s="114" t="s">
        <v>461</v>
      </c>
      <c r="Q479" s="18">
        <v>6201.33</v>
      </c>
      <c r="R479" s="18"/>
      <c r="S479" s="18">
        <f t="shared" si="87"/>
        <v>6201.33</v>
      </c>
      <c r="T479" s="64">
        <f t="shared" si="80"/>
        <v>6821.4630000000006</v>
      </c>
      <c r="U479" s="65"/>
      <c r="V479" s="65"/>
      <c r="W479" s="21">
        <f t="shared" si="83"/>
        <v>0</v>
      </c>
      <c r="X479" s="22">
        <f t="shared" si="81"/>
        <v>6201.33</v>
      </c>
      <c r="Y479" s="35">
        <f t="shared" si="82"/>
        <v>1</v>
      </c>
      <c r="Z479" s="20"/>
      <c r="AA479" s="11"/>
      <c r="AB479" s="20"/>
      <c r="AC479" s="24" t="s">
        <v>73</v>
      </c>
      <c r="AD479" s="10" t="s">
        <v>47</v>
      </c>
      <c r="AE479" s="10">
        <v>43403</v>
      </c>
      <c r="AF479" s="8"/>
      <c r="AG479" s="10">
        <v>43461</v>
      </c>
      <c r="AH479" s="25">
        <f t="shared" si="84"/>
        <v>58</v>
      </c>
      <c r="AK479" s="27"/>
    </row>
    <row r="480" spans="1:37" s="26" customFormat="1" ht="14.25" customHeight="1" x14ac:dyDescent="0.45">
      <c r="A480" s="8" t="s">
        <v>34</v>
      </c>
      <c r="B480" s="8" t="s">
        <v>512</v>
      </c>
      <c r="C480" s="8" t="s">
        <v>43</v>
      </c>
      <c r="D480" s="9" t="s">
        <v>1137</v>
      </c>
      <c r="E480" s="9">
        <v>43439</v>
      </c>
      <c r="F480" s="10">
        <v>43413</v>
      </c>
      <c r="G480" s="11">
        <v>43413</v>
      </c>
      <c r="H480" s="14">
        <v>43418</v>
      </c>
      <c r="I480" s="54">
        <v>43427</v>
      </c>
      <c r="J480" s="14">
        <f>G480+14</f>
        <v>43427</v>
      </c>
      <c r="K480" s="12">
        <v>43438</v>
      </c>
      <c r="L480" s="9"/>
      <c r="M480" s="10" t="str">
        <f t="shared" si="78"/>
        <v>Nov-18</v>
      </c>
      <c r="N480" s="10" t="str">
        <f t="shared" si="79"/>
        <v>Dec-18</v>
      </c>
      <c r="O480" s="17" t="s">
        <v>1138</v>
      </c>
      <c r="P480" s="33" t="s">
        <v>1139</v>
      </c>
      <c r="Q480" s="18">
        <v>8284.33</v>
      </c>
      <c r="R480" s="18">
        <v>20596.11</v>
      </c>
      <c r="S480" s="18">
        <f t="shared" si="87"/>
        <v>28880.440000000002</v>
      </c>
      <c r="T480" s="64">
        <f t="shared" si="80"/>
        <v>31768.484000000004</v>
      </c>
      <c r="U480" s="65">
        <v>18460.98</v>
      </c>
      <c r="V480" s="65">
        <v>1714.9700799999998</v>
      </c>
      <c r="W480" s="21">
        <f t="shared" si="83"/>
        <v>20175.950079999999</v>
      </c>
      <c r="X480" s="22">
        <f t="shared" si="81"/>
        <v>8704.4899200000036</v>
      </c>
      <c r="Y480" s="35">
        <f t="shared" si="82"/>
        <v>0.30139741361281208</v>
      </c>
      <c r="Z480" s="20"/>
      <c r="AA480" s="11"/>
      <c r="AB480" s="20"/>
      <c r="AC480" s="24" t="s">
        <v>69</v>
      </c>
      <c r="AD480" s="10">
        <v>43361</v>
      </c>
      <c r="AE480" s="10">
        <v>43368</v>
      </c>
      <c r="AF480" s="63">
        <f>AE480-AD480</f>
        <v>7</v>
      </c>
      <c r="AG480" s="10">
        <v>43437</v>
      </c>
      <c r="AH480" s="25">
        <f t="shared" si="84"/>
        <v>69</v>
      </c>
      <c r="AK480" s="27"/>
    </row>
    <row r="481" spans="1:37" s="26" customFormat="1" ht="14.25" customHeight="1" x14ac:dyDescent="0.45">
      <c r="A481" s="28" t="s">
        <v>41</v>
      </c>
      <c r="B481" s="8" t="s">
        <v>65</v>
      </c>
      <c r="C481" s="8" t="s">
        <v>57</v>
      </c>
      <c r="D481" s="9" t="s">
        <v>1140</v>
      </c>
      <c r="E481" s="9">
        <v>43454</v>
      </c>
      <c r="F481" s="10">
        <v>43424</v>
      </c>
      <c r="G481" s="10">
        <v>43424</v>
      </c>
      <c r="H481" s="67"/>
      <c r="I481" s="68"/>
      <c r="J481" s="14">
        <f>G481+14</f>
        <v>43438</v>
      </c>
      <c r="K481" s="14">
        <v>43452</v>
      </c>
      <c r="L481" s="9"/>
      <c r="M481" s="10" t="str">
        <f t="shared" si="78"/>
        <v>Nov-18</v>
      </c>
      <c r="N481" s="10" t="str">
        <f t="shared" si="79"/>
        <v>Dec-18</v>
      </c>
      <c r="O481" s="17" t="s">
        <v>1141</v>
      </c>
      <c r="P481" s="33" t="s">
        <v>396</v>
      </c>
      <c r="Q481" s="18">
        <v>398.02</v>
      </c>
      <c r="R481" s="142"/>
      <c r="S481" s="18">
        <f t="shared" si="87"/>
        <v>398.02</v>
      </c>
      <c r="T481" s="64">
        <f t="shared" si="80"/>
        <v>437.822</v>
      </c>
      <c r="U481" s="65"/>
      <c r="V481" s="65"/>
      <c r="W481" s="21">
        <f t="shared" si="83"/>
        <v>0</v>
      </c>
      <c r="X481" s="22">
        <f t="shared" si="81"/>
        <v>398.02</v>
      </c>
      <c r="Y481" s="35">
        <f t="shared" si="82"/>
        <v>1</v>
      </c>
      <c r="Z481" s="20"/>
      <c r="AA481" s="11"/>
      <c r="AB481" s="20"/>
      <c r="AC481" s="24" t="s">
        <v>73</v>
      </c>
      <c r="AD481" s="10" t="s">
        <v>47</v>
      </c>
      <c r="AE481" s="10">
        <v>43398</v>
      </c>
      <c r="AF481" s="8"/>
      <c r="AG481" s="10">
        <v>43419</v>
      </c>
      <c r="AH481" s="25">
        <f t="shared" si="84"/>
        <v>21</v>
      </c>
      <c r="AK481" s="27"/>
    </row>
    <row r="482" spans="1:37" s="26" customFormat="1" ht="14.25" customHeight="1" x14ac:dyDescent="0.45">
      <c r="A482" s="28" t="s">
        <v>41</v>
      </c>
      <c r="B482" s="8" t="s">
        <v>100</v>
      </c>
      <c r="C482" s="8" t="s">
        <v>57</v>
      </c>
      <c r="D482" s="9"/>
      <c r="E482" s="9"/>
      <c r="F482" s="10">
        <v>43486</v>
      </c>
      <c r="G482" s="10">
        <v>43486</v>
      </c>
      <c r="H482" s="15">
        <v>43486</v>
      </c>
      <c r="I482" s="49">
        <v>43542</v>
      </c>
      <c r="J482" s="14">
        <f>G482+14</f>
        <v>43500</v>
      </c>
      <c r="K482" s="51">
        <v>43554</v>
      </c>
      <c r="L482" s="9"/>
      <c r="M482" s="10" t="str">
        <f t="shared" si="78"/>
        <v>Jan-19</v>
      </c>
      <c r="N482" s="10" t="str">
        <f t="shared" si="79"/>
        <v>Mar-19</v>
      </c>
      <c r="O482" s="17" t="s">
        <v>1142</v>
      </c>
      <c r="P482" s="33" t="s">
        <v>1143</v>
      </c>
      <c r="Q482" s="18">
        <v>1269.6300000000001</v>
      </c>
      <c r="R482" s="18">
        <v>2015.14</v>
      </c>
      <c r="S482" s="18">
        <f t="shared" si="87"/>
        <v>3284.7700000000004</v>
      </c>
      <c r="T482" s="64">
        <f t="shared" si="80"/>
        <v>3613.2470000000008</v>
      </c>
      <c r="U482" s="65"/>
      <c r="V482" s="65"/>
      <c r="W482" s="21">
        <f t="shared" si="83"/>
        <v>0</v>
      </c>
      <c r="X482" s="22">
        <f t="shared" si="81"/>
        <v>3284.7700000000004</v>
      </c>
      <c r="Y482" s="35">
        <f t="shared" si="82"/>
        <v>1</v>
      </c>
      <c r="Z482" s="20"/>
      <c r="AA482" s="11"/>
      <c r="AB482" s="20"/>
      <c r="AC482" s="24" t="s">
        <v>73</v>
      </c>
      <c r="AD482" s="10" t="s">
        <v>47</v>
      </c>
      <c r="AE482" s="10">
        <v>43404</v>
      </c>
      <c r="AF482" s="8"/>
      <c r="AG482" s="10">
        <v>43454</v>
      </c>
      <c r="AH482" s="25">
        <f t="shared" si="84"/>
        <v>50</v>
      </c>
      <c r="AK482" s="27"/>
    </row>
    <row r="483" spans="1:37" s="26" customFormat="1" ht="14.25" customHeight="1" x14ac:dyDescent="0.45">
      <c r="A483" s="28" t="s">
        <v>41</v>
      </c>
      <c r="B483" s="8" t="s">
        <v>357</v>
      </c>
      <c r="C483" s="8" t="s">
        <v>57</v>
      </c>
      <c r="D483" s="9"/>
      <c r="E483" s="9"/>
      <c r="F483" s="10">
        <v>43539</v>
      </c>
      <c r="G483" s="11">
        <v>43539</v>
      </c>
      <c r="H483" s="51">
        <v>43539</v>
      </c>
      <c r="I483" s="52"/>
      <c r="J483" s="51">
        <f>G483+14</f>
        <v>43553</v>
      </c>
      <c r="K483" s="51">
        <f>J483+14</f>
        <v>43567</v>
      </c>
      <c r="L483" s="9"/>
      <c r="M483" s="10" t="str">
        <f t="shared" si="78"/>
        <v>Mar-19</v>
      </c>
      <c r="N483" s="10" t="str">
        <f t="shared" si="79"/>
        <v>Apr-19</v>
      </c>
      <c r="O483" s="17" t="s">
        <v>1144</v>
      </c>
      <c r="P483" s="33" t="s">
        <v>1145</v>
      </c>
      <c r="Q483" s="18">
        <v>2984.36</v>
      </c>
      <c r="R483" s="18">
        <v>4182.53</v>
      </c>
      <c r="S483" s="18">
        <f t="shared" si="87"/>
        <v>7166.8899999999994</v>
      </c>
      <c r="T483" s="64">
        <f t="shared" si="80"/>
        <v>7883.5789999999997</v>
      </c>
      <c r="U483" s="65"/>
      <c r="V483" s="65"/>
      <c r="W483" s="21">
        <f t="shared" si="83"/>
        <v>0</v>
      </c>
      <c r="X483" s="22">
        <f t="shared" si="81"/>
        <v>7166.8899999999994</v>
      </c>
      <c r="Y483" s="35">
        <f t="shared" si="82"/>
        <v>1</v>
      </c>
      <c r="Z483" s="20"/>
      <c r="AA483" s="11"/>
      <c r="AB483" s="20"/>
      <c r="AC483" s="24" t="s">
        <v>73</v>
      </c>
      <c r="AD483" s="10" t="s">
        <v>47</v>
      </c>
      <c r="AE483" s="10">
        <v>43404</v>
      </c>
      <c r="AF483" s="8"/>
      <c r="AG483" s="10">
        <v>43454</v>
      </c>
      <c r="AH483" s="25">
        <f t="shared" si="84"/>
        <v>50</v>
      </c>
      <c r="AK483" s="27"/>
    </row>
    <row r="484" spans="1:37" s="26" customFormat="1" ht="14.25" customHeight="1" x14ac:dyDescent="0.45">
      <c r="A484" s="28" t="s">
        <v>41</v>
      </c>
      <c r="B484" s="8" t="s">
        <v>146</v>
      </c>
      <c r="C484" s="8" t="s">
        <v>36</v>
      </c>
      <c r="D484" s="9"/>
      <c r="E484" s="9"/>
      <c r="F484" s="10"/>
      <c r="G484" s="11">
        <v>43554</v>
      </c>
      <c r="H484" s="51"/>
      <c r="I484" s="52"/>
      <c r="J484" s="51"/>
      <c r="K484" s="51"/>
      <c r="L484" s="9"/>
      <c r="M484" s="10" t="str">
        <f t="shared" si="78"/>
        <v>Mar-19</v>
      </c>
      <c r="N484" s="10" t="str">
        <f t="shared" si="79"/>
        <v>Jan-00</v>
      </c>
      <c r="O484" s="17" t="s">
        <v>1146</v>
      </c>
      <c r="P484" s="33" t="s">
        <v>1147</v>
      </c>
      <c r="Q484" s="18">
        <v>3686.86</v>
      </c>
      <c r="R484" s="18"/>
      <c r="S484" s="18">
        <f t="shared" si="87"/>
        <v>3686.86</v>
      </c>
      <c r="T484" s="64">
        <f t="shared" si="80"/>
        <v>4055.5460000000003</v>
      </c>
      <c r="U484" s="65"/>
      <c r="V484" s="65"/>
      <c r="W484" s="21">
        <f t="shared" si="83"/>
        <v>0</v>
      </c>
      <c r="X484" s="22">
        <f t="shared" si="81"/>
        <v>3686.86</v>
      </c>
      <c r="Y484" s="35">
        <f t="shared" si="82"/>
        <v>1</v>
      </c>
      <c r="Z484" s="20"/>
      <c r="AA484" s="11"/>
      <c r="AB484" s="20"/>
      <c r="AC484" s="24" t="s">
        <v>73</v>
      </c>
      <c r="AD484" s="10" t="s">
        <v>47</v>
      </c>
      <c r="AE484" s="10">
        <v>43404</v>
      </c>
      <c r="AF484" s="8"/>
      <c r="AG484" s="10">
        <v>43454</v>
      </c>
      <c r="AH484" s="25">
        <f t="shared" si="84"/>
        <v>50</v>
      </c>
      <c r="AK484" s="27"/>
    </row>
    <row r="485" spans="1:37" s="26" customFormat="1" ht="14.25" customHeight="1" x14ac:dyDescent="0.45">
      <c r="A485" s="28" t="s">
        <v>41</v>
      </c>
      <c r="B485" s="8" t="s">
        <v>65</v>
      </c>
      <c r="C485" s="8" t="s">
        <v>57</v>
      </c>
      <c r="D485" s="9" t="s">
        <v>1148</v>
      </c>
      <c r="E485" s="9">
        <v>43439</v>
      </c>
      <c r="F485" s="10">
        <v>43417</v>
      </c>
      <c r="G485" s="11">
        <v>43417</v>
      </c>
      <c r="H485" s="67"/>
      <c r="I485" s="68"/>
      <c r="J485" s="77">
        <v>43432</v>
      </c>
      <c r="K485" s="14">
        <v>43440</v>
      </c>
      <c r="L485" s="9"/>
      <c r="M485" s="10" t="str">
        <f t="shared" si="78"/>
        <v>Nov-18</v>
      </c>
      <c r="N485" s="10" t="str">
        <f t="shared" si="79"/>
        <v>Dec-18</v>
      </c>
      <c r="O485" s="17" t="s">
        <v>1149</v>
      </c>
      <c r="P485" s="33" t="s">
        <v>396</v>
      </c>
      <c r="Q485" s="18">
        <v>3184.17</v>
      </c>
      <c r="R485" s="142"/>
      <c r="S485" s="18">
        <f t="shared" si="87"/>
        <v>3184.17</v>
      </c>
      <c r="T485" s="64">
        <f t="shared" si="80"/>
        <v>3502.5870000000004</v>
      </c>
      <c r="U485" s="65"/>
      <c r="V485" s="65"/>
      <c r="W485" s="21">
        <f t="shared" si="83"/>
        <v>0</v>
      </c>
      <c r="X485" s="22">
        <f t="shared" si="81"/>
        <v>3184.17</v>
      </c>
      <c r="Y485" s="35">
        <f t="shared" si="82"/>
        <v>1</v>
      </c>
      <c r="Z485" s="20"/>
      <c r="AA485" s="11"/>
      <c r="AB485" s="20"/>
      <c r="AC485" s="24" t="s">
        <v>73</v>
      </c>
      <c r="AD485" s="10" t="s">
        <v>47</v>
      </c>
      <c r="AE485" s="10">
        <v>43404</v>
      </c>
      <c r="AF485" s="8"/>
      <c r="AG485" s="10">
        <v>43454</v>
      </c>
      <c r="AH485" s="25">
        <f t="shared" si="84"/>
        <v>50</v>
      </c>
      <c r="AK485" s="27"/>
    </row>
    <row r="486" spans="1:37" s="26" customFormat="1" ht="15" customHeight="1" x14ac:dyDescent="0.45">
      <c r="A486" s="28" t="s">
        <v>41</v>
      </c>
      <c r="B486" s="8" t="s">
        <v>357</v>
      </c>
      <c r="C486" s="8" t="s">
        <v>57</v>
      </c>
      <c r="D486" s="9" t="s">
        <v>1150</v>
      </c>
      <c r="E486" s="9">
        <v>43483</v>
      </c>
      <c r="F486" s="10">
        <v>43442</v>
      </c>
      <c r="G486" s="11">
        <v>43524</v>
      </c>
      <c r="H486" s="14">
        <v>43442</v>
      </c>
      <c r="I486" s="54">
        <v>43455</v>
      </c>
      <c r="J486" s="14">
        <f>F486+14</f>
        <v>43456</v>
      </c>
      <c r="K486" s="15">
        <v>43487</v>
      </c>
      <c r="L486" s="9"/>
      <c r="M486" s="10" t="str">
        <f t="shared" si="78"/>
        <v>Feb-19</v>
      </c>
      <c r="N486" s="10" t="str">
        <f t="shared" si="79"/>
        <v>Jan-19</v>
      </c>
      <c r="O486" s="17" t="s">
        <v>1151</v>
      </c>
      <c r="P486" s="33" t="s">
        <v>1074</v>
      </c>
      <c r="Q486" s="18">
        <v>5290.57</v>
      </c>
      <c r="R486" s="18">
        <v>8298.2800000000007</v>
      </c>
      <c r="S486" s="18">
        <f t="shared" si="87"/>
        <v>13588.85</v>
      </c>
      <c r="T486" s="64">
        <f t="shared" si="80"/>
        <v>14947.735000000002</v>
      </c>
      <c r="U486" s="20"/>
      <c r="V486" s="20">
        <v>3869.1222399999997</v>
      </c>
      <c r="W486" s="21">
        <f t="shared" si="83"/>
        <v>3869.1222399999997</v>
      </c>
      <c r="X486" s="22">
        <f t="shared" si="81"/>
        <v>9719.7277600000016</v>
      </c>
      <c r="Y486" s="35">
        <f t="shared" si="82"/>
        <v>0.71527228279067034</v>
      </c>
      <c r="Z486" s="20"/>
      <c r="AA486" s="11"/>
      <c r="AB486" s="20"/>
      <c r="AC486" s="24" t="s">
        <v>73</v>
      </c>
      <c r="AD486" s="10" t="s">
        <v>47</v>
      </c>
      <c r="AE486" s="10">
        <v>43409</v>
      </c>
      <c r="AF486" s="8"/>
      <c r="AG486" s="10">
        <v>43487</v>
      </c>
      <c r="AH486" s="25">
        <f t="shared" si="84"/>
        <v>78</v>
      </c>
      <c r="AK486" s="27"/>
    </row>
    <row r="487" spans="1:37" s="26" customFormat="1" ht="15" customHeight="1" x14ac:dyDescent="0.45">
      <c r="A487" s="8" t="s">
        <v>805</v>
      </c>
      <c r="B487" s="8" t="s">
        <v>297</v>
      </c>
      <c r="C487" s="8" t="s">
        <v>36</v>
      </c>
      <c r="D487" s="9"/>
      <c r="E487" s="9"/>
      <c r="F487" s="10"/>
      <c r="G487" s="11">
        <v>43585</v>
      </c>
      <c r="H487" s="51"/>
      <c r="I487" s="52"/>
      <c r="J487" s="51"/>
      <c r="K487" s="51"/>
      <c r="L487" s="9"/>
      <c r="M487" s="10" t="str">
        <f t="shared" si="78"/>
        <v>Apr-19</v>
      </c>
      <c r="N487" s="10" t="str">
        <f t="shared" si="79"/>
        <v>Jan-00</v>
      </c>
      <c r="O487" s="50" t="s">
        <v>1152</v>
      </c>
      <c r="P487" s="50" t="s">
        <v>1153</v>
      </c>
      <c r="Q487" s="45">
        <v>960</v>
      </c>
      <c r="R487" s="145">
        <v>6645.6</v>
      </c>
      <c r="S487" s="45">
        <f t="shared" si="87"/>
        <v>7605.6</v>
      </c>
      <c r="T487" s="64">
        <f t="shared" si="80"/>
        <v>8366.1600000000017</v>
      </c>
      <c r="U487" s="65">
        <v>10236.040000000001</v>
      </c>
      <c r="V487" s="65"/>
      <c r="W487" s="21">
        <f t="shared" si="83"/>
        <v>10236.040000000001</v>
      </c>
      <c r="X487" s="79">
        <f t="shared" si="81"/>
        <v>-2630.4400000000005</v>
      </c>
      <c r="Y487" s="80">
        <f t="shared" si="82"/>
        <v>-0.34585568528452726</v>
      </c>
      <c r="Z487" s="20"/>
      <c r="AA487" s="11"/>
      <c r="AB487" s="20"/>
      <c r="AC487" s="24" t="s">
        <v>69</v>
      </c>
      <c r="AD487" s="10">
        <v>43377</v>
      </c>
      <c r="AE487" s="10">
        <v>43383</v>
      </c>
      <c r="AF487" s="8"/>
      <c r="AG487" s="10">
        <v>43411</v>
      </c>
      <c r="AH487" s="25">
        <f t="shared" si="84"/>
        <v>28</v>
      </c>
      <c r="AK487" s="27"/>
    </row>
    <row r="488" spans="1:37" s="26" customFormat="1" ht="15" customHeight="1" x14ac:dyDescent="0.45">
      <c r="A488" s="8" t="s">
        <v>34</v>
      </c>
      <c r="B488" s="8" t="s">
        <v>863</v>
      </c>
      <c r="C488" s="28" t="s">
        <v>43</v>
      </c>
      <c r="D488" s="9"/>
      <c r="E488" s="9"/>
      <c r="F488" s="10">
        <v>43517</v>
      </c>
      <c r="G488" s="11">
        <v>43517</v>
      </c>
      <c r="H488" s="14">
        <v>43517</v>
      </c>
      <c r="I488" s="54">
        <v>43523</v>
      </c>
      <c r="J488" s="14">
        <f>G488+14</f>
        <v>43531</v>
      </c>
      <c r="K488" s="51">
        <f>J488+14</f>
        <v>43545</v>
      </c>
      <c r="L488" s="9"/>
      <c r="M488" s="10" t="str">
        <f t="shared" si="78"/>
        <v>Feb-19</v>
      </c>
      <c r="N488" s="10" t="str">
        <f t="shared" si="79"/>
        <v>Mar-19</v>
      </c>
      <c r="O488" s="17" t="s">
        <v>1154</v>
      </c>
      <c r="P488" s="33" t="s">
        <v>1155</v>
      </c>
      <c r="Q488" s="45">
        <v>3509.86</v>
      </c>
      <c r="R488" s="45">
        <v>-370.12800000000004</v>
      </c>
      <c r="S488" s="45">
        <f t="shared" si="87"/>
        <v>3139.732</v>
      </c>
      <c r="T488" s="64">
        <f t="shared" si="80"/>
        <v>3453.7052000000003</v>
      </c>
      <c r="U488" s="45">
        <v>1456</v>
      </c>
      <c r="V488" s="65"/>
      <c r="W488" s="21">
        <f t="shared" si="83"/>
        <v>1456</v>
      </c>
      <c r="X488" s="22">
        <f t="shared" si="81"/>
        <v>1683.732</v>
      </c>
      <c r="Y488" s="35">
        <f t="shared" si="82"/>
        <v>0.53626615265251942</v>
      </c>
      <c r="Z488" s="20"/>
      <c r="AA488" s="11"/>
      <c r="AB488" s="20"/>
      <c r="AC488" s="24" t="s">
        <v>69</v>
      </c>
      <c r="AD488" s="10">
        <v>43399</v>
      </c>
      <c r="AE488" s="10">
        <v>43409</v>
      </c>
      <c r="AF488" s="63">
        <f>AE488-AD488</f>
        <v>10</v>
      </c>
      <c r="AG488" s="10">
        <v>43438</v>
      </c>
      <c r="AH488" s="25">
        <f t="shared" si="84"/>
        <v>29</v>
      </c>
      <c r="AK488" s="27"/>
    </row>
    <row r="489" spans="1:37" s="26" customFormat="1" ht="15" customHeight="1" x14ac:dyDescent="0.45">
      <c r="A489" s="28" t="s">
        <v>41</v>
      </c>
      <c r="B489" s="8" t="s">
        <v>357</v>
      </c>
      <c r="C489" s="8" t="s">
        <v>57</v>
      </c>
      <c r="D489" s="9"/>
      <c r="E489" s="9"/>
      <c r="F489" s="10">
        <v>43529</v>
      </c>
      <c r="G489" s="11">
        <v>43529</v>
      </c>
      <c r="H489" s="51">
        <v>43529</v>
      </c>
      <c r="I489" s="52"/>
      <c r="J489" s="14">
        <f>G489+14</f>
        <v>43543</v>
      </c>
      <c r="K489" s="51">
        <f>J489+14</f>
        <v>43557</v>
      </c>
      <c r="L489" s="9"/>
      <c r="M489" s="10" t="str">
        <f t="shared" si="78"/>
        <v>Mar-19</v>
      </c>
      <c r="N489" s="10" t="str">
        <f t="shared" si="79"/>
        <v>Apr-19</v>
      </c>
      <c r="O489" s="17" t="s">
        <v>1156</v>
      </c>
      <c r="P489" s="33" t="s">
        <v>1157</v>
      </c>
      <c r="Q489" s="45">
        <v>4646.57</v>
      </c>
      <c r="R489" s="45">
        <v>5024.7891999999993</v>
      </c>
      <c r="S489" s="45">
        <f t="shared" si="87"/>
        <v>9671.359199999999</v>
      </c>
      <c r="T489" s="64">
        <f t="shared" si="80"/>
        <v>10638.49512</v>
      </c>
      <c r="U489" s="65">
        <v>2972.37</v>
      </c>
      <c r="V489" s="65"/>
      <c r="W489" s="21">
        <f t="shared" si="83"/>
        <v>2972.37</v>
      </c>
      <c r="X489" s="22">
        <f t="shared" si="81"/>
        <v>6698.9891999999991</v>
      </c>
      <c r="Y489" s="35">
        <f t="shared" si="82"/>
        <v>0.69266264042803827</v>
      </c>
      <c r="Z489" s="20"/>
      <c r="AA489" s="11"/>
      <c r="AB489" s="20"/>
      <c r="AC489" s="24" t="s">
        <v>73</v>
      </c>
      <c r="AD489" s="10" t="s">
        <v>47</v>
      </c>
      <c r="AE489" s="10">
        <v>43410</v>
      </c>
      <c r="AF489" s="8"/>
      <c r="AG489" s="10">
        <v>43488</v>
      </c>
      <c r="AH489" s="25">
        <f t="shared" si="84"/>
        <v>78</v>
      </c>
      <c r="AK489" s="27"/>
    </row>
    <row r="490" spans="1:37" s="26" customFormat="1" ht="15" customHeight="1" x14ac:dyDescent="0.45">
      <c r="A490" s="28" t="s">
        <v>41</v>
      </c>
      <c r="B490" s="8" t="s">
        <v>357</v>
      </c>
      <c r="C490" s="8" t="s">
        <v>57</v>
      </c>
      <c r="D490" s="9" t="s">
        <v>1158</v>
      </c>
      <c r="E490" s="9">
        <v>43483</v>
      </c>
      <c r="F490" s="10">
        <v>43444</v>
      </c>
      <c r="G490" s="11">
        <v>43444</v>
      </c>
      <c r="H490" s="140">
        <v>43444</v>
      </c>
      <c r="I490" s="54">
        <v>43455</v>
      </c>
      <c r="J490" s="14">
        <f>G490+14</f>
        <v>43458</v>
      </c>
      <c r="K490" s="15">
        <v>43487</v>
      </c>
      <c r="L490" s="9"/>
      <c r="M490" s="10" t="str">
        <f t="shared" si="78"/>
        <v>Dec-18</v>
      </c>
      <c r="N490" s="10" t="str">
        <f t="shared" si="79"/>
        <v>Jan-19</v>
      </c>
      <c r="O490" s="17" t="s">
        <v>1159</v>
      </c>
      <c r="P490" s="33" t="s">
        <v>1160</v>
      </c>
      <c r="Q490" s="45">
        <v>6491.62</v>
      </c>
      <c r="R490" s="45">
        <v>4182.2359999999999</v>
      </c>
      <c r="S490" s="45">
        <f t="shared" si="87"/>
        <v>10673.856</v>
      </c>
      <c r="T490" s="64">
        <f t="shared" si="80"/>
        <v>11741.241600000001</v>
      </c>
      <c r="U490" s="65">
        <v>700</v>
      </c>
      <c r="V490" s="65"/>
      <c r="W490" s="21">
        <f t="shared" si="83"/>
        <v>700</v>
      </c>
      <c r="X490" s="22">
        <f t="shared" si="81"/>
        <v>9973.8559999999998</v>
      </c>
      <c r="Y490" s="35">
        <f t="shared" si="82"/>
        <v>0.93441920145821711</v>
      </c>
      <c r="Z490" s="20"/>
      <c r="AA490" s="11"/>
      <c r="AB490" s="20"/>
      <c r="AC490" s="24" t="s">
        <v>73</v>
      </c>
      <c r="AD490" s="10" t="s">
        <v>47</v>
      </c>
      <c r="AE490" s="10">
        <v>43410</v>
      </c>
      <c r="AF490" s="8"/>
      <c r="AG490" s="10">
        <v>43489</v>
      </c>
      <c r="AH490" s="25">
        <f t="shared" si="84"/>
        <v>79</v>
      </c>
      <c r="AK490" s="27"/>
    </row>
    <row r="491" spans="1:37" s="26" customFormat="1" ht="15" customHeight="1" x14ac:dyDescent="0.45">
      <c r="A491" s="28" t="s">
        <v>41</v>
      </c>
      <c r="B491" s="8" t="s">
        <v>297</v>
      </c>
      <c r="C491" s="28" t="s">
        <v>43</v>
      </c>
      <c r="D491" s="9"/>
      <c r="E491" s="9"/>
      <c r="F491" s="11">
        <v>43516</v>
      </c>
      <c r="G491" s="11">
        <v>43516</v>
      </c>
      <c r="H491" s="140">
        <v>43516</v>
      </c>
      <c r="I491" s="54">
        <v>43522</v>
      </c>
      <c r="J491" s="14">
        <f>G491+14</f>
        <v>43530</v>
      </c>
      <c r="K491" s="51">
        <f>J491+14</f>
        <v>43544</v>
      </c>
      <c r="L491" s="9"/>
      <c r="M491" s="10" t="str">
        <f t="shared" si="78"/>
        <v>Feb-19</v>
      </c>
      <c r="N491" s="10" t="str">
        <f t="shared" si="79"/>
        <v>Mar-19</v>
      </c>
      <c r="O491" s="17" t="s">
        <v>1161</v>
      </c>
      <c r="P491" s="33" t="s">
        <v>885</v>
      </c>
      <c r="Q491" s="45">
        <v>1559.44</v>
      </c>
      <c r="R491" s="45">
        <v>5238.7700000000004</v>
      </c>
      <c r="S491" s="45">
        <f t="shared" si="87"/>
        <v>6798.2100000000009</v>
      </c>
      <c r="T491" s="64">
        <f t="shared" si="80"/>
        <v>7478.0310000000018</v>
      </c>
      <c r="U491" s="65">
        <v>3584.4300000000003</v>
      </c>
      <c r="V491" s="65"/>
      <c r="W491" s="21">
        <f t="shared" si="83"/>
        <v>3584.4300000000003</v>
      </c>
      <c r="X491" s="22">
        <f t="shared" si="81"/>
        <v>3213.7800000000007</v>
      </c>
      <c r="Y491" s="35">
        <f t="shared" si="82"/>
        <v>0.47273914751088891</v>
      </c>
      <c r="Z491" s="20"/>
      <c r="AA491" s="11"/>
      <c r="AB491" s="20"/>
      <c r="AC491" s="24" t="s">
        <v>73</v>
      </c>
      <c r="AD491" s="10" t="s">
        <v>47</v>
      </c>
      <c r="AE491" s="10">
        <v>43410</v>
      </c>
      <c r="AF491" s="8"/>
      <c r="AG491" s="10">
        <v>43438</v>
      </c>
      <c r="AH491" s="25">
        <f t="shared" si="84"/>
        <v>28</v>
      </c>
      <c r="AK491" s="27"/>
    </row>
    <row r="492" spans="1:37" s="26" customFormat="1" ht="15" customHeight="1" x14ac:dyDescent="0.45">
      <c r="A492" s="8" t="s">
        <v>34</v>
      </c>
      <c r="B492" s="8" t="s">
        <v>42</v>
      </c>
      <c r="C492" s="28" t="s">
        <v>43</v>
      </c>
      <c r="D492" s="9"/>
      <c r="E492" s="9"/>
      <c r="F492" s="10"/>
      <c r="G492" s="11">
        <v>43524</v>
      </c>
      <c r="H492" s="51"/>
      <c r="I492" s="52"/>
      <c r="J492" s="51"/>
      <c r="K492" s="51"/>
      <c r="L492" s="9"/>
      <c r="M492" s="10" t="str">
        <f t="shared" si="78"/>
        <v>Feb-19</v>
      </c>
      <c r="N492" s="10" t="str">
        <f t="shared" si="79"/>
        <v>Jan-00</v>
      </c>
      <c r="O492" s="17" t="s">
        <v>1162</v>
      </c>
      <c r="P492" s="33" t="s">
        <v>1163</v>
      </c>
      <c r="Q492" s="45">
        <v>5646.2</v>
      </c>
      <c r="R492" s="45"/>
      <c r="S492" s="45">
        <f t="shared" si="87"/>
        <v>5646.2</v>
      </c>
      <c r="T492" s="64">
        <f t="shared" si="80"/>
        <v>6210.8200000000006</v>
      </c>
      <c r="U492" s="65">
        <v>300</v>
      </c>
      <c r="V492" s="65"/>
      <c r="W492" s="21">
        <f t="shared" si="83"/>
        <v>300</v>
      </c>
      <c r="X492" s="22">
        <f t="shared" si="81"/>
        <v>5346.2</v>
      </c>
      <c r="Y492" s="35">
        <f t="shared" si="82"/>
        <v>0.94686691934398359</v>
      </c>
      <c r="Z492" s="20"/>
      <c r="AA492" s="11"/>
      <c r="AB492" s="20"/>
      <c r="AC492" s="24" t="s">
        <v>69</v>
      </c>
      <c r="AD492" s="10">
        <v>43397</v>
      </c>
      <c r="AE492" s="10">
        <v>43413</v>
      </c>
      <c r="AF492" s="63">
        <f>AE492-AD492</f>
        <v>16</v>
      </c>
      <c r="AG492" s="10">
        <v>43479</v>
      </c>
      <c r="AH492" s="25">
        <f t="shared" si="84"/>
        <v>66</v>
      </c>
      <c r="AK492" s="27"/>
    </row>
    <row r="493" spans="1:37" s="26" customFormat="1" ht="15" customHeight="1" x14ac:dyDescent="0.45">
      <c r="A493" s="28" t="s">
        <v>41</v>
      </c>
      <c r="B493" s="8" t="s">
        <v>42</v>
      </c>
      <c r="C493" s="28" t="s">
        <v>43</v>
      </c>
      <c r="D493" s="9"/>
      <c r="E493" s="9"/>
      <c r="F493" s="10">
        <v>43518</v>
      </c>
      <c r="G493" s="10">
        <v>43518</v>
      </c>
      <c r="H493" s="10">
        <v>43518</v>
      </c>
      <c r="I493" s="52"/>
      <c r="J493" s="51">
        <f>G493+14</f>
        <v>43532</v>
      </c>
      <c r="K493" s="51">
        <f>J493+14</f>
        <v>43546</v>
      </c>
      <c r="L493" s="9"/>
      <c r="M493" s="10" t="str">
        <f t="shared" si="78"/>
        <v>Feb-19</v>
      </c>
      <c r="N493" s="10" t="str">
        <f t="shared" si="79"/>
        <v>Mar-19</v>
      </c>
      <c r="O493" s="17" t="s">
        <v>1164</v>
      </c>
      <c r="P493" s="33" t="s">
        <v>1165</v>
      </c>
      <c r="Q493" s="45">
        <v>2743.66</v>
      </c>
      <c r="R493" s="45">
        <v>1870.77</v>
      </c>
      <c r="S493" s="45">
        <f t="shared" si="87"/>
        <v>4614.43</v>
      </c>
      <c r="T493" s="64">
        <f t="shared" si="80"/>
        <v>5075.8730000000005</v>
      </c>
      <c r="U493" s="65">
        <v>2049.8000000000002</v>
      </c>
      <c r="V493" s="65"/>
      <c r="W493" s="21">
        <f t="shared" si="83"/>
        <v>2049.8000000000002</v>
      </c>
      <c r="X493" s="22">
        <f t="shared" si="81"/>
        <v>2564.63</v>
      </c>
      <c r="Y493" s="35">
        <f t="shared" si="82"/>
        <v>0.55578478815368315</v>
      </c>
      <c r="Z493" s="20"/>
      <c r="AA493" s="11"/>
      <c r="AB493" s="20"/>
      <c r="AC493" s="24" t="s">
        <v>73</v>
      </c>
      <c r="AD493" s="10" t="s">
        <v>47</v>
      </c>
      <c r="AE493" s="10">
        <v>43416</v>
      </c>
      <c r="AF493" s="8"/>
      <c r="AG493" s="10">
        <v>43490</v>
      </c>
      <c r="AH493" s="25">
        <f t="shared" si="84"/>
        <v>74</v>
      </c>
      <c r="AK493" s="27"/>
    </row>
    <row r="494" spans="1:37" s="26" customFormat="1" ht="15" customHeight="1" x14ac:dyDescent="0.45">
      <c r="A494" s="28" t="s">
        <v>41</v>
      </c>
      <c r="B494" s="8" t="s">
        <v>35</v>
      </c>
      <c r="C494" s="8" t="s">
        <v>43</v>
      </c>
      <c r="D494" s="9" t="s">
        <v>1166</v>
      </c>
      <c r="E494" s="9">
        <v>43511</v>
      </c>
      <c r="F494" s="10">
        <v>43448</v>
      </c>
      <c r="G494" s="11">
        <v>43448</v>
      </c>
      <c r="H494" s="15">
        <v>43448</v>
      </c>
      <c r="I494" s="49">
        <v>43495</v>
      </c>
      <c r="J494" s="15">
        <v>43108</v>
      </c>
      <c r="K494" s="15">
        <v>43511</v>
      </c>
      <c r="L494" s="9"/>
      <c r="M494" s="10" t="str">
        <f t="shared" si="78"/>
        <v>Dec-18</v>
      </c>
      <c r="N494" s="10" t="str">
        <f t="shared" si="79"/>
        <v>Feb-19</v>
      </c>
      <c r="O494" s="17" t="s">
        <v>1167</v>
      </c>
      <c r="P494" s="33" t="s">
        <v>1168</v>
      </c>
      <c r="Q494" s="45">
        <v>1560.28</v>
      </c>
      <c r="R494" s="45">
        <v>3867.0200000000004</v>
      </c>
      <c r="S494" s="45">
        <f t="shared" si="87"/>
        <v>5427.3</v>
      </c>
      <c r="T494" s="64">
        <f t="shared" si="80"/>
        <v>5970.0300000000007</v>
      </c>
      <c r="U494" s="65">
        <v>2289.3200000000002</v>
      </c>
      <c r="V494" s="34"/>
      <c r="W494" s="21">
        <f t="shared" si="83"/>
        <v>2289.3200000000002</v>
      </c>
      <c r="X494" s="22">
        <f t="shared" si="81"/>
        <v>3137.98</v>
      </c>
      <c r="Y494" s="35">
        <f t="shared" si="82"/>
        <v>0.5781843642326755</v>
      </c>
      <c r="Z494" s="20"/>
      <c r="AA494" s="11"/>
      <c r="AB494" s="20"/>
      <c r="AC494" s="24" t="s">
        <v>73</v>
      </c>
      <c r="AD494" s="10" t="s">
        <v>47</v>
      </c>
      <c r="AE494" s="10">
        <v>43416</v>
      </c>
      <c r="AF494" s="8"/>
      <c r="AG494" s="10">
        <v>43494</v>
      </c>
      <c r="AH494" s="25">
        <f t="shared" si="84"/>
        <v>78</v>
      </c>
      <c r="AK494" s="27"/>
    </row>
    <row r="495" spans="1:37" s="26" customFormat="1" ht="15" customHeight="1" x14ac:dyDescent="0.45">
      <c r="A495" s="28" t="s">
        <v>41</v>
      </c>
      <c r="B495" s="8" t="s">
        <v>297</v>
      </c>
      <c r="C495" s="28" t="s">
        <v>43</v>
      </c>
      <c r="D495" s="9"/>
      <c r="E495" s="9"/>
      <c r="F495" s="10"/>
      <c r="G495" s="11">
        <v>43524</v>
      </c>
      <c r="H495" s="51"/>
      <c r="I495" s="52"/>
      <c r="J495" s="51"/>
      <c r="K495" s="51"/>
      <c r="L495" s="9"/>
      <c r="M495" s="10" t="str">
        <f t="shared" si="78"/>
        <v>Feb-19</v>
      </c>
      <c r="N495" s="10" t="str">
        <f t="shared" si="79"/>
        <v>Jan-00</v>
      </c>
      <c r="O495" s="17" t="s">
        <v>1169</v>
      </c>
      <c r="P495" s="33" t="s">
        <v>932</v>
      </c>
      <c r="Q495" s="45">
        <v>3540.82</v>
      </c>
      <c r="R495" s="45">
        <f>4*70.2</f>
        <v>280.8</v>
      </c>
      <c r="S495" s="45">
        <f t="shared" si="87"/>
        <v>3821.6200000000003</v>
      </c>
      <c r="T495" s="64">
        <f t="shared" si="80"/>
        <v>4203.7820000000011</v>
      </c>
      <c r="U495" s="65"/>
      <c r="V495" s="65"/>
      <c r="W495" s="21">
        <f t="shared" si="83"/>
        <v>0</v>
      </c>
      <c r="X495" s="22">
        <f t="shared" si="81"/>
        <v>3821.6200000000003</v>
      </c>
      <c r="Y495" s="35">
        <f t="shared" si="82"/>
        <v>1</v>
      </c>
      <c r="Z495" s="20"/>
      <c r="AA495" s="11"/>
      <c r="AB495" s="20"/>
      <c r="AC495" s="24" t="s">
        <v>73</v>
      </c>
      <c r="AD495" s="10" t="s">
        <v>47</v>
      </c>
      <c r="AE495" s="10">
        <v>43417</v>
      </c>
      <c r="AF495" s="8"/>
      <c r="AG495" s="10">
        <v>43490</v>
      </c>
      <c r="AH495" s="25">
        <f t="shared" si="84"/>
        <v>73</v>
      </c>
      <c r="AK495" s="27"/>
    </row>
    <row r="496" spans="1:37" s="26" customFormat="1" ht="15" customHeight="1" x14ac:dyDescent="0.45">
      <c r="A496" s="28" t="s">
        <v>41</v>
      </c>
      <c r="B496" s="8" t="s">
        <v>100</v>
      </c>
      <c r="C496" s="8" t="s">
        <v>57</v>
      </c>
      <c r="D496" s="9"/>
      <c r="E496" s="9"/>
      <c r="F496" s="10"/>
      <c r="G496" s="11">
        <v>43524</v>
      </c>
      <c r="H496" s="51"/>
      <c r="I496" s="52"/>
      <c r="J496" s="51"/>
      <c r="K496" s="51"/>
      <c r="L496" s="9"/>
      <c r="M496" s="10" t="str">
        <f t="shared" si="78"/>
        <v>Feb-19</v>
      </c>
      <c r="N496" s="10" t="str">
        <f t="shared" si="79"/>
        <v>Jan-00</v>
      </c>
      <c r="O496" s="17" t="s">
        <v>1170</v>
      </c>
      <c r="P496" s="33" t="s">
        <v>464</v>
      </c>
      <c r="Q496" s="45">
        <v>986.64</v>
      </c>
      <c r="R496" s="45"/>
      <c r="S496" s="45">
        <f t="shared" si="87"/>
        <v>986.64</v>
      </c>
      <c r="T496" s="64">
        <f t="shared" si="80"/>
        <v>1085.3040000000001</v>
      </c>
      <c r="U496" s="65"/>
      <c r="V496" s="65"/>
      <c r="W496" s="21">
        <f t="shared" si="83"/>
        <v>0</v>
      </c>
      <c r="X496" s="22">
        <f t="shared" si="81"/>
        <v>986.64</v>
      </c>
      <c r="Y496" s="35">
        <f t="shared" si="82"/>
        <v>1</v>
      </c>
      <c r="Z496" s="20"/>
      <c r="AA496" s="11"/>
      <c r="AB496" s="20"/>
      <c r="AC496" s="24" t="s">
        <v>73</v>
      </c>
      <c r="AD496" s="10" t="s">
        <v>47</v>
      </c>
      <c r="AE496" s="10">
        <v>43417</v>
      </c>
      <c r="AF496" s="8"/>
      <c r="AG496" s="10">
        <v>43494</v>
      </c>
      <c r="AH496" s="25">
        <f t="shared" si="84"/>
        <v>77</v>
      </c>
      <c r="AK496" s="27"/>
    </row>
    <row r="497" spans="1:37" s="26" customFormat="1" ht="15" customHeight="1" x14ac:dyDescent="0.45">
      <c r="A497" s="28" t="s">
        <v>41</v>
      </c>
      <c r="B497" s="8" t="s">
        <v>56</v>
      </c>
      <c r="C497" s="8" t="s">
        <v>57</v>
      </c>
      <c r="D497" s="9"/>
      <c r="E497" s="9"/>
      <c r="F497" s="10"/>
      <c r="G497" s="11">
        <v>43524</v>
      </c>
      <c r="H497" s="51"/>
      <c r="I497" s="52"/>
      <c r="J497" s="51"/>
      <c r="K497" s="51"/>
      <c r="L497" s="9"/>
      <c r="M497" s="10" t="str">
        <f t="shared" si="78"/>
        <v>Feb-19</v>
      </c>
      <c r="N497" s="10" t="str">
        <f t="shared" si="79"/>
        <v>Jan-00</v>
      </c>
      <c r="O497" s="17" t="s">
        <v>1171</v>
      </c>
      <c r="P497" s="33" t="s">
        <v>1172</v>
      </c>
      <c r="Q497" s="45">
        <v>4936.16</v>
      </c>
      <c r="R497" s="45"/>
      <c r="S497" s="45">
        <f t="shared" si="87"/>
        <v>4936.16</v>
      </c>
      <c r="T497" s="64">
        <f t="shared" si="80"/>
        <v>5429.7759999999998</v>
      </c>
      <c r="U497" s="65">
        <v>1866.83</v>
      </c>
      <c r="V497" s="65"/>
      <c r="W497" s="21">
        <f t="shared" si="83"/>
        <v>1866.83</v>
      </c>
      <c r="X497" s="22">
        <f t="shared" si="81"/>
        <v>3069.33</v>
      </c>
      <c r="Y497" s="35">
        <f t="shared" si="82"/>
        <v>0.62180520890732882</v>
      </c>
      <c r="Z497" s="20"/>
      <c r="AA497" s="11"/>
      <c r="AB497" s="20"/>
      <c r="AC497" s="24" t="s">
        <v>73</v>
      </c>
      <c r="AD497" s="10" t="s">
        <v>47</v>
      </c>
      <c r="AE497" s="10">
        <v>43417</v>
      </c>
      <c r="AF497" s="8"/>
      <c r="AG497" s="10">
        <v>43490</v>
      </c>
      <c r="AH497" s="25">
        <f t="shared" si="84"/>
        <v>73</v>
      </c>
      <c r="AK497" s="27"/>
    </row>
    <row r="498" spans="1:37" s="26" customFormat="1" ht="15" customHeight="1" x14ac:dyDescent="0.45">
      <c r="A498" s="28" t="s">
        <v>802</v>
      </c>
      <c r="B498" s="8" t="s">
        <v>129</v>
      </c>
      <c r="C498" s="8" t="s">
        <v>36</v>
      </c>
      <c r="D498" s="9" t="s">
        <v>1173</v>
      </c>
      <c r="E498" s="9">
        <v>43529</v>
      </c>
      <c r="F498" s="10">
        <v>43500</v>
      </c>
      <c r="G498" s="11">
        <v>43500</v>
      </c>
      <c r="H498" s="14">
        <v>43501</v>
      </c>
      <c r="I498" s="54">
        <v>43504</v>
      </c>
      <c r="J498" s="14">
        <f>G498+14</f>
        <v>43514</v>
      </c>
      <c r="K498" s="14">
        <v>43524</v>
      </c>
      <c r="L498" s="9"/>
      <c r="M498" s="10" t="str">
        <f t="shared" si="78"/>
        <v>Feb-19</v>
      </c>
      <c r="N498" s="10" t="str">
        <f t="shared" si="79"/>
        <v>Feb-19</v>
      </c>
      <c r="O498" s="130" t="s">
        <v>1174</v>
      </c>
      <c r="P498" s="130" t="s">
        <v>508</v>
      </c>
      <c r="Q498" s="45">
        <v>14914.04</v>
      </c>
      <c r="R498" s="45">
        <v>4406.93</v>
      </c>
      <c r="S498" s="45">
        <f t="shared" si="87"/>
        <v>19320.97</v>
      </c>
      <c r="T498" s="64">
        <f t="shared" si="80"/>
        <v>21253.067000000003</v>
      </c>
      <c r="U498" s="65"/>
      <c r="V498" s="65"/>
      <c r="W498" s="21">
        <f t="shared" si="83"/>
        <v>0</v>
      </c>
      <c r="X498" s="22">
        <f t="shared" si="81"/>
        <v>19320.97</v>
      </c>
      <c r="Y498" s="35">
        <f t="shared" si="82"/>
        <v>1</v>
      </c>
      <c r="Z498" s="20"/>
      <c r="AA498" s="11"/>
      <c r="AB498" s="20"/>
      <c r="AC498" s="24" t="s">
        <v>983</v>
      </c>
      <c r="AD498" s="10">
        <v>43390</v>
      </c>
      <c r="AE498" s="10">
        <v>43418</v>
      </c>
      <c r="AF498" s="63">
        <f>AE498-AD498</f>
        <v>28</v>
      </c>
      <c r="AG498" s="10">
        <v>43441</v>
      </c>
      <c r="AH498" s="25">
        <f t="shared" si="84"/>
        <v>23</v>
      </c>
      <c r="AK498" s="27"/>
    </row>
    <row r="499" spans="1:37" s="26" customFormat="1" ht="15" customHeight="1" x14ac:dyDescent="0.45">
      <c r="A499" s="28" t="s">
        <v>41</v>
      </c>
      <c r="B499" s="8" t="s">
        <v>42</v>
      </c>
      <c r="C499" s="28" t="s">
        <v>43</v>
      </c>
      <c r="D499" s="9"/>
      <c r="E499" s="9"/>
      <c r="F499" s="10"/>
      <c r="G499" s="11">
        <v>43524</v>
      </c>
      <c r="H499" s="51"/>
      <c r="I499" s="52"/>
      <c r="J499" s="51"/>
      <c r="K499" s="51"/>
      <c r="L499" s="9"/>
      <c r="M499" s="10" t="str">
        <f t="shared" si="78"/>
        <v>Feb-19</v>
      </c>
      <c r="N499" s="10" t="str">
        <f t="shared" si="79"/>
        <v>Jan-00</v>
      </c>
      <c r="O499" s="17" t="s">
        <v>1175</v>
      </c>
      <c r="P499" s="33" t="s">
        <v>1176</v>
      </c>
      <c r="Q499" s="45">
        <v>1272.51</v>
      </c>
      <c r="R499" s="45"/>
      <c r="S499" s="45">
        <f t="shared" si="87"/>
        <v>1272.51</v>
      </c>
      <c r="T499" s="64">
        <f t="shared" si="80"/>
        <v>1399.7610000000002</v>
      </c>
      <c r="U499" s="65"/>
      <c r="V499" s="65"/>
      <c r="W499" s="21">
        <f t="shared" si="83"/>
        <v>0</v>
      </c>
      <c r="X499" s="22">
        <f t="shared" si="81"/>
        <v>1272.51</v>
      </c>
      <c r="Y499" s="35">
        <f t="shared" si="82"/>
        <v>1</v>
      </c>
      <c r="Z499" s="20"/>
      <c r="AA499" s="11"/>
      <c r="AB499" s="20"/>
      <c r="AC499" s="24" t="s">
        <v>73</v>
      </c>
      <c r="AD499" s="10" t="s">
        <v>47</v>
      </c>
      <c r="AE499" s="10">
        <v>43418</v>
      </c>
      <c r="AF499" s="8"/>
      <c r="AG499" s="10">
        <v>43495</v>
      </c>
      <c r="AH499" s="25">
        <f t="shared" si="84"/>
        <v>77</v>
      </c>
      <c r="AK499" s="27"/>
    </row>
    <row r="500" spans="1:37" s="26" customFormat="1" ht="15" customHeight="1" x14ac:dyDescent="0.45">
      <c r="A500" s="28" t="s">
        <v>41</v>
      </c>
      <c r="B500" s="8" t="s">
        <v>42</v>
      </c>
      <c r="C500" s="28" t="s">
        <v>43</v>
      </c>
      <c r="D500" s="9"/>
      <c r="E500" s="9"/>
      <c r="F500" s="10">
        <v>43514</v>
      </c>
      <c r="G500" s="11">
        <v>43515</v>
      </c>
      <c r="H500" s="51">
        <v>43515</v>
      </c>
      <c r="I500" s="52"/>
      <c r="J500" s="14">
        <f>G500+14</f>
        <v>43529</v>
      </c>
      <c r="K500" s="51">
        <f>J500+14</f>
        <v>43543</v>
      </c>
      <c r="L500" s="9"/>
      <c r="M500" s="10" t="str">
        <f t="shared" si="78"/>
        <v>Feb-19</v>
      </c>
      <c r="N500" s="10" t="str">
        <f t="shared" si="79"/>
        <v>Mar-19</v>
      </c>
      <c r="O500" s="17" t="s">
        <v>1177</v>
      </c>
      <c r="P500" s="33" t="s">
        <v>1178</v>
      </c>
      <c r="Q500" s="45">
        <v>9772.01</v>
      </c>
      <c r="R500" s="45">
        <v>-417.18000000000006</v>
      </c>
      <c r="S500" s="45">
        <f t="shared" si="87"/>
        <v>9354.83</v>
      </c>
      <c r="T500" s="64">
        <f t="shared" si="80"/>
        <v>10290.313</v>
      </c>
      <c r="U500" s="65"/>
      <c r="V500" s="65"/>
      <c r="W500" s="21">
        <f t="shared" si="83"/>
        <v>0</v>
      </c>
      <c r="X500" s="22">
        <f t="shared" si="81"/>
        <v>9354.83</v>
      </c>
      <c r="Y500" s="35">
        <f t="shared" si="82"/>
        <v>1</v>
      </c>
      <c r="Z500" s="20"/>
      <c r="AA500" s="11"/>
      <c r="AB500" s="20"/>
      <c r="AC500" s="24" t="s">
        <v>73</v>
      </c>
      <c r="AD500" s="10" t="s">
        <v>47</v>
      </c>
      <c r="AE500" s="10">
        <v>43418</v>
      </c>
      <c r="AF500" s="8"/>
      <c r="AG500" s="10">
        <v>43463</v>
      </c>
      <c r="AH500" s="25">
        <f t="shared" si="84"/>
        <v>45</v>
      </c>
      <c r="AK500" s="27"/>
    </row>
    <row r="501" spans="1:37" s="26" customFormat="1" ht="15" customHeight="1" x14ac:dyDescent="0.45">
      <c r="A501" s="28" t="s">
        <v>41</v>
      </c>
      <c r="B501" s="8" t="s">
        <v>357</v>
      </c>
      <c r="C501" s="8" t="s">
        <v>57</v>
      </c>
      <c r="D501" s="9"/>
      <c r="E501" s="9"/>
      <c r="F501" s="10">
        <v>43528</v>
      </c>
      <c r="G501" s="11">
        <v>43528</v>
      </c>
      <c r="H501" s="51">
        <v>43528</v>
      </c>
      <c r="I501" s="52"/>
      <c r="J501" s="14">
        <f>G501+14</f>
        <v>43542</v>
      </c>
      <c r="K501" s="51">
        <f>J501+14</f>
        <v>43556</v>
      </c>
      <c r="L501" s="9"/>
      <c r="M501" s="10" t="str">
        <f t="shared" si="78"/>
        <v>Mar-19</v>
      </c>
      <c r="N501" s="10" t="str">
        <f t="shared" si="79"/>
        <v>Apr-19</v>
      </c>
      <c r="O501" s="17" t="s">
        <v>1179</v>
      </c>
      <c r="P501" s="33" t="s">
        <v>1180</v>
      </c>
      <c r="Q501" s="45">
        <v>5746.08</v>
      </c>
      <c r="R501" s="45">
        <v>2587.46</v>
      </c>
      <c r="S501" s="45">
        <f t="shared" si="87"/>
        <v>8333.5400000000009</v>
      </c>
      <c r="T501" s="146">
        <f t="shared" si="80"/>
        <v>9166.8940000000021</v>
      </c>
      <c r="U501" s="65"/>
      <c r="V501" s="65"/>
      <c r="W501" s="21">
        <f t="shared" si="83"/>
        <v>0</v>
      </c>
      <c r="X501" s="22">
        <f t="shared" si="81"/>
        <v>8333.5400000000009</v>
      </c>
      <c r="Y501" s="35">
        <f t="shared" si="82"/>
        <v>1</v>
      </c>
      <c r="Z501" s="20"/>
      <c r="AA501" s="11"/>
      <c r="AB501" s="20"/>
      <c r="AC501" s="24" t="s">
        <v>73</v>
      </c>
      <c r="AD501" s="10" t="s">
        <v>47</v>
      </c>
      <c r="AE501" s="10">
        <v>43418</v>
      </c>
      <c r="AF501" s="8"/>
      <c r="AG501" s="10">
        <v>43481</v>
      </c>
      <c r="AH501" s="25">
        <f t="shared" si="84"/>
        <v>63</v>
      </c>
      <c r="AK501" s="27"/>
    </row>
    <row r="502" spans="1:37" s="26" customFormat="1" ht="15" customHeight="1" x14ac:dyDescent="0.45">
      <c r="A502" s="28" t="s">
        <v>41</v>
      </c>
      <c r="B502" s="8" t="s">
        <v>42</v>
      </c>
      <c r="C502" s="28" t="s">
        <v>43</v>
      </c>
      <c r="D502" s="9"/>
      <c r="E502" s="9"/>
      <c r="F502" s="10"/>
      <c r="G502" s="11">
        <v>43524</v>
      </c>
      <c r="H502" s="51"/>
      <c r="I502" s="52"/>
      <c r="J502" s="51"/>
      <c r="K502" s="51"/>
      <c r="L502" s="9"/>
      <c r="M502" s="10" t="str">
        <f t="shared" si="78"/>
        <v>Feb-19</v>
      </c>
      <c r="N502" s="10" t="str">
        <f t="shared" si="79"/>
        <v>Jan-00</v>
      </c>
      <c r="O502" s="17" t="s">
        <v>1181</v>
      </c>
      <c r="P502" s="33" t="s">
        <v>95</v>
      </c>
      <c r="Q502" s="45">
        <v>1727.14</v>
      </c>
      <c r="R502" s="45"/>
      <c r="S502" s="45">
        <f t="shared" si="87"/>
        <v>1727.14</v>
      </c>
      <c r="T502" s="146">
        <f t="shared" si="80"/>
        <v>1899.8540000000003</v>
      </c>
      <c r="U502" s="65"/>
      <c r="V502" s="65"/>
      <c r="W502" s="21">
        <f t="shared" si="83"/>
        <v>0</v>
      </c>
      <c r="X502" s="22">
        <f t="shared" si="81"/>
        <v>1727.14</v>
      </c>
      <c r="Y502" s="35">
        <f t="shared" si="82"/>
        <v>1</v>
      </c>
      <c r="Z502" s="20"/>
      <c r="AA502" s="11"/>
      <c r="AB502" s="20"/>
      <c r="AC502" s="24" t="s">
        <v>73</v>
      </c>
      <c r="AD502" s="10" t="s">
        <v>47</v>
      </c>
      <c r="AE502" s="10">
        <v>43418</v>
      </c>
      <c r="AF502" s="8"/>
      <c r="AG502" s="10">
        <v>43495</v>
      </c>
      <c r="AH502" s="25">
        <f t="shared" si="84"/>
        <v>77</v>
      </c>
      <c r="AK502" s="27"/>
    </row>
    <row r="503" spans="1:37" s="26" customFormat="1" ht="15" customHeight="1" x14ac:dyDescent="0.45">
      <c r="A503" s="28" t="s">
        <v>41</v>
      </c>
      <c r="B503" s="8" t="s">
        <v>42</v>
      </c>
      <c r="C503" s="28" t="s">
        <v>43</v>
      </c>
      <c r="D503" s="9"/>
      <c r="E503" s="9"/>
      <c r="F503" s="10"/>
      <c r="G503" s="11">
        <v>43524</v>
      </c>
      <c r="H503" s="51"/>
      <c r="I503" s="52"/>
      <c r="J503" s="51"/>
      <c r="K503" s="51"/>
      <c r="L503" s="9"/>
      <c r="M503" s="10" t="str">
        <f t="shared" si="78"/>
        <v>Feb-19</v>
      </c>
      <c r="N503" s="10" t="str">
        <f t="shared" si="79"/>
        <v>Jan-00</v>
      </c>
      <c r="O503" s="17" t="s">
        <v>1182</v>
      </c>
      <c r="P503" s="33" t="s">
        <v>302</v>
      </c>
      <c r="Q503" s="45">
        <v>5523.45</v>
      </c>
      <c r="R503" s="45"/>
      <c r="S503" s="45">
        <f t="shared" si="87"/>
        <v>5523.45</v>
      </c>
      <c r="T503" s="64">
        <f t="shared" si="80"/>
        <v>6075.7950000000001</v>
      </c>
      <c r="U503" s="65">
        <v>1995.77</v>
      </c>
      <c r="V503" s="65"/>
      <c r="W503" s="21">
        <f t="shared" si="83"/>
        <v>1995.77</v>
      </c>
      <c r="X503" s="22">
        <f t="shared" si="81"/>
        <v>3527.68</v>
      </c>
      <c r="Y503" s="35">
        <f t="shared" si="82"/>
        <v>0.63867329296001596</v>
      </c>
      <c r="Z503" s="20"/>
      <c r="AA503" s="11"/>
      <c r="AB503" s="20"/>
      <c r="AC503" s="24" t="s">
        <v>73</v>
      </c>
      <c r="AD503" s="10" t="s">
        <v>47</v>
      </c>
      <c r="AE503" s="10">
        <v>43418</v>
      </c>
      <c r="AF503" s="8"/>
      <c r="AG503" s="10">
        <v>43495</v>
      </c>
      <c r="AH503" s="25">
        <f t="shared" si="84"/>
        <v>77</v>
      </c>
      <c r="AK503" s="27"/>
    </row>
    <row r="504" spans="1:37" s="26" customFormat="1" ht="15" customHeight="1" x14ac:dyDescent="0.45">
      <c r="A504" s="28" t="s">
        <v>41</v>
      </c>
      <c r="B504" s="8" t="s">
        <v>129</v>
      </c>
      <c r="C504" s="8" t="s">
        <v>57</v>
      </c>
      <c r="D504" s="9"/>
      <c r="E504" s="9"/>
      <c r="F504" s="10"/>
      <c r="G504" s="11">
        <v>43524</v>
      </c>
      <c r="H504" s="51"/>
      <c r="I504" s="52"/>
      <c r="J504" s="51"/>
      <c r="K504" s="51"/>
      <c r="L504" s="9"/>
      <c r="M504" s="10" t="str">
        <f t="shared" si="78"/>
        <v>Feb-19</v>
      </c>
      <c r="N504" s="10" t="str">
        <f t="shared" si="79"/>
        <v>Jan-00</v>
      </c>
      <c r="O504" s="17" t="s">
        <v>1183</v>
      </c>
      <c r="P504" s="33" t="s">
        <v>1184</v>
      </c>
      <c r="Q504" s="45">
        <v>4334.9399999999996</v>
      </c>
      <c r="R504" s="45"/>
      <c r="S504" s="45">
        <f t="shared" si="87"/>
        <v>4334.9399999999996</v>
      </c>
      <c r="T504" s="146">
        <f t="shared" si="80"/>
        <v>4768.4340000000002</v>
      </c>
      <c r="U504" s="65"/>
      <c r="V504" s="65"/>
      <c r="W504" s="21">
        <f t="shared" si="83"/>
        <v>0</v>
      </c>
      <c r="X504" s="22">
        <f t="shared" si="81"/>
        <v>4334.9399999999996</v>
      </c>
      <c r="Y504" s="35">
        <f t="shared" si="82"/>
        <v>1</v>
      </c>
      <c r="Z504" s="20"/>
      <c r="AA504" s="11"/>
      <c r="AB504" s="20"/>
      <c r="AC504" s="24" t="s">
        <v>73</v>
      </c>
      <c r="AD504" s="10" t="s">
        <v>47</v>
      </c>
      <c r="AE504" s="10">
        <v>43418</v>
      </c>
      <c r="AF504" s="8"/>
      <c r="AG504" s="10">
        <v>43490</v>
      </c>
      <c r="AH504" s="25">
        <f t="shared" si="84"/>
        <v>72</v>
      </c>
      <c r="AK504" s="27"/>
    </row>
    <row r="505" spans="1:37" s="26" customFormat="1" ht="15" customHeight="1" x14ac:dyDescent="0.45">
      <c r="A505" s="28" t="s">
        <v>41</v>
      </c>
      <c r="B505" s="8" t="s">
        <v>100</v>
      </c>
      <c r="C505" s="8" t="s">
        <v>57</v>
      </c>
      <c r="D505" s="9"/>
      <c r="E505" s="9"/>
      <c r="F505" s="10"/>
      <c r="G505" s="11">
        <v>43524</v>
      </c>
      <c r="H505" s="51"/>
      <c r="I505" s="52"/>
      <c r="J505" s="51"/>
      <c r="K505" s="51"/>
      <c r="L505" s="9"/>
      <c r="M505" s="10" t="str">
        <f t="shared" si="78"/>
        <v>Feb-19</v>
      </c>
      <c r="N505" s="10" t="str">
        <f t="shared" si="79"/>
        <v>Jan-00</v>
      </c>
      <c r="O505" s="17" t="s">
        <v>1185</v>
      </c>
      <c r="P505" s="33" t="s">
        <v>464</v>
      </c>
      <c r="Q505" s="45">
        <v>469.92</v>
      </c>
      <c r="R505" s="45"/>
      <c r="S505" s="45">
        <f t="shared" si="87"/>
        <v>469.92</v>
      </c>
      <c r="T505" s="146">
        <f t="shared" si="80"/>
        <v>516.91200000000003</v>
      </c>
      <c r="U505" s="65"/>
      <c r="V505" s="65"/>
      <c r="W505" s="21">
        <f t="shared" si="83"/>
        <v>0</v>
      </c>
      <c r="X505" s="22">
        <f t="shared" si="81"/>
        <v>469.92</v>
      </c>
      <c r="Y505" s="35">
        <f t="shared" si="82"/>
        <v>1</v>
      </c>
      <c r="Z505" s="20"/>
      <c r="AA505" s="11"/>
      <c r="AB505" s="20"/>
      <c r="AC505" s="24" t="s">
        <v>73</v>
      </c>
      <c r="AD505" s="10" t="s">
        <v>47</v>
      </c>
      <c r="AE505" s="10">
        <v>43418</v>
      </c>
      <c r="AF505" s="8"/>
      <c r="AG505" s="10">
        <v>43495</v>
      </c>
      <c r="AH505" s="25">
        <f t="shared" si="84"/>
        <v>77</v>
      </c>
      <c r="AK505" s="27"/>
    </row>
    <row r="506" spans="1:37" s="26" customFormat="1" ht="15" customHeight="1" x14ac:dyDescent="0.45">
      <c r="A506" s="8" t="s">
        <v>34</v>
      </c>
      <c r="B506" s="8" t="s">
        <v>129</v>
      </c>
      <c r="C506" s="8" t="s">
        <v>57</v>
      </c>
      <c r="D506" s="9"/>
      <c r="E506" s="9"/>
      <c r="F506" s="10"/>
      <c r="G506" s="11">
        <v>43524</v>
      </c>
      <c r="H506" s="51"/>
      <c r="I506" s="52"/>
      <c r="J506" s="51"/>
      <c r="K506" s="51"/>
      <c r="L506" s="9"/>
      <c r="M506" s="10" t="str">
        <f t="shared" si="78"/>
        <v>Feb-19</v>
      </c>
      <c r="N506" s="10" t="str">
        <f t="shared" si="79"/>
        <v>Jan-00</v>
      </c>
      <c r="O506" s="17" t="s">
        <v>1186</v>
      </c>
      <c r="P506" s="33" t="s">
        <v>1187</v>
      </c>
      <c r="Q506" s="45">
        <v>9721.02</v>
      </c>
      <c r="R506" s="45"/>
      <c r="S506" s="45">
        <f t="shared" si="87"/>
        <v>9721.02</v>
      </c>
      <c r="T506" s="146">
        <f t="shared" si="80"/>
        <v>10693.122000000001</v>
      </c>
      <c r="U506" s="65"/>
      <c r="V506" s="65"/>
      <c r="W506" s="21">
        <f t="shared" si="83"/>
        <v>0</v>
      </c>
      <c r="X506" s="22">
        <f t="shared" si="81"/>
        <v>9721.02</v>
      </c>
      <c r="Y506" s="35">
        <f t="shared" si="82"/>
        <v>1</v>
      </c>
      <c r="Z506" s="20"/>
      <c r="AA506" s="11"/>
      <c r="AB506" s="20"/>
      <c r="AC506" s="24" t="s">
        <v>69</v>
      </c>
      <c r="AD506" s="10">
        <v>43412</v>
      </c>
      <c r="AE506" s="10">
        <v>43419</v>
      </c>
      <c r="AF506" s="8"/>
      <c r="AG506" s="10">
        <v>43493</v>
      </c>
      <c r="AH506" s="25">
        <f t="shared" si="84"/>
        <v>74</v>
      </c>
      <c r="AK506" s="27"/>
    </row>
    <row r="507" spans="1:37" s="26" customFormat="1" ht="15" customHeight="1" x14ac:dyDescent="0.45">
      <c r="A507" s="28" t="s">
        <v>41</v>
      </c>
      <c r="B507" s="8" t="s">
        <v>56</v>
      </c>
      <c r="C507" s="8" t="s">
        <v>57</v>
      </c>
      <c r="D507" s="9"/>
      <c r="E507" s="9"/>
      <c r="F507" s="10"/>
      <c r="G507" s="11">
        <v>43524</v>
      </c>
      <c r="H507" s="51"/>
      <c r="I507" s="52"/>
      <c r="J507" s="51"/>
      <c r="K507" s="51"/>
      <c r="L507" s="9"/>
      <c r="M507" s="10" t="str">
        <f t="shared" si="78"/>
        <v>Feb-19</v>
      </c>
      <c r="N507" s="10" t="str">
        <f t="shared" si="79"/>
        <v>Jan-00</v>
      </c>
      <c r="O507" s="17" t="s">
        <v>1188</v>
      </c>
      <c r="P507" s="33" t="s">
        <v>1189</v>
      </c>
      <c r="Q507" s="45">
        <v>1328.35</v>
      </c>
      <c r="R507" s="45"/>
      <c r="S507" s="45">
        <f t="shared" si="87"/>
        <v>1328.35</v>
      </c>
      <c r="T507" s="146">
        <f t="shared" si="80"/>
        <v>1461.1849999999999</v>
      </c>
      <c r="U507" s="65"/>
      <c r="V507" s="65"/>
      <c r="W507" s="21">
        <f t="shared" si="83"/>
        <v>0</v>
      </c>
      <c r="X507" s="22">
        <f t="shared" si="81"/>
        <v>1328.35</v>
      </c>
      <c r="Y507" s="35">
        <f t="shared" si="82"/>
        <v>1</v>
      </c>
      <c r="Z507" s="20"/>
      <c r="AA507" s="11"/>
      <c r="AB507" s="20"/>
      <c r="AC507" s="24" t="s">
        <v>73</v>
      </c>
      <c r="AD507" s="10" t="s">
        <v>47</v>
      </c>
      <c r="AE507" s="10">
        <v>43419</v>
      </c>
      <c r="AF507" s="8"/>
      <c r="AG507" s="10">
        <v>43465</v>
      </c>
      <c r="AH507" s="25">
        <f t="shared" si="84"/>
        <v>46</v>
      </c>
      <c r="AK507" s="27"/>
    </row>
    <row r="508" spans="1:37" s="26" customFormat="1" ht="15" customHeight="1" x14ac:dyDescent="0.45">
      <c r="A508" s="8" t="s">
        <v>774</v>
      </c>
      <c r="B508" s="8" t="s">
        <v>42</v>
      </c>
      <c r="C508" s="8" t="s">
        <v>36</v>
      </c>
      <c r="D508" s="9"/>
      <c r="E508" s="9"/>
      <c r="F508" s="10"/>
      <c r="G508" s="11">
        <v>43554</v>
      </c>
      <c r="H508" s="51"/>
      <c r="I508" s="52"/>
      <c r="J508" s="51"/>
      <c r="K508" s="51"/>
      <c r="L508" s="9"/>
      <c r="M508" s="10" t="str">
        <f t="shared" si="78"/>
        <v>Mar-19</v>
      </c>
      <c r="N508" s="10" t="str">
        <f t="shared" si="79"/>
        <v>Jan-00</v>
      </c>
      <c r="O508" s="113" t="s">
        <v>1190</v>
      </c>
      <c r="P508" s="114" t="s">
        <v>1191</v>
      </c>
      <c r="Q508" s="45">
        <f>34317.34-Q509</f>
        <v>24022.139999999996</v>
      </c>
      <c r="R508" s="45"/>
      <c r="S508" s="45">
        <f t="shared" si="87"/>
        <v>24022.139999999996</v>
      </c>
      <c r="T508" s="146">
        <f t="shared" si="80"/>
        <v>26424.353999999996</v>
      </c>
      <c r="U508" s="65">
        <v>44669.64</v>
      </c>
      <c r="V508" s="65"/>
      <c r="W508" s="21">
        <f t="shared" si="83"/>
        <v>44669.64</v>
      </c>
      <c r="X508" s="79">
        <f t="shared" si="81"/>
        <v>-20647.500000000004</v>
      </c>
      <c r="Y508" s="80">
        <f t="shared" si="82"/>
        <v>-0.85951959317529614</v>
      </c>
      <c r="Z508" s="20"/>
      <c r="AA508" s="11"/>
      <c r="AB508" s="20"/>
      <c r="AC508" s="24" t="s">
        <v>69</v>
      </c>
      <c r="AD508" s="10" t="s">
        <v>47</v>
      </c>
      <c r="AE508" s="10">
        <v>43420</v>
      </c>
      <c r="AF508" s="8"/>
      <c r="AG508" s="10">
        <v>43455</v>
      </c>
      <c r="AH508" s="25">
        <f t="shared" si="84"/>
        <v>35</v>
      </c>
      <c r="AK508" s="27"/>
    </row>
    <row r="509" spans="1:37" s="26" customFormat="1" ht="15" customHeight="1" x14ac:dyDescent="0.45">
      <c r="A509" s="8" t="s">
        <v>546</v>
      </c>
      <c r="B509" s="8" t="s">
        <v>35</v>
      </c>
      <c r="C509" s="8" t="s">
        <v>51</v>
      </c>
      <c r="D509" s="9" t="s">
        <v>1192</v>
      </c>
      <c r="E509" s="9">
        <v>43538</v>
      </c>
      <c r="F509" s="10">
        <v>43536</v>
      </c>
      <c r="G509" s="11">
        <v>43536</v>
      </c>
      <c r="H509" s="67"/>
      <c r="I509" s="68"/>
      <c r="J509" s="67"/>
      <c r="K509" s="51">
        <v>43538</v>
      </c>
      <c r="L509" s="9"/>
      <c r="M509" s="10" t="str">
        <f t="shared" si="78"/>
        <v>Mar-19</v>
      </c>
      <c r="N509" s="10" t="str">
        <f t="shared" si="79"/>
        <v>Mar-19</v>
      </c>
      <c r="O509" s="113" t="s">
        <v>1190</v>
      </c>
      <c r="P509" s="114" t="s">
        <v>1191</v>
      </c>
      <c r="Q509" s="45">
        <v>10295.200000000001</v>
      </c>
      <c r="R509" s="45"/>
      <c r="S509" s="45">
        <f t="shared" ref="S509:S541" si="88">SUM(Q509:R509)</f>
        <v>10295.200000000001</v>
      </c>
      <c r="T509" s="146">
        <f t="shared" si="80"/>
        <v>11324.720000000001</v>
      </c>
      <c r="U509" s="65"/>
      <c r="V509" s="65"/>
      <c r="W509" s="21">
        <f t="shared" si="83"/>
        <v>0</v>
      </c>
      <c r="X509" s="22">
        <f t="shared" si="81"/>
        <v>10295.200000000001</v>
      </c>
      <c r="Y509" s="35">
        <f t="shared" si="82"/>
        <v>1</v>
      </c>
      <c r="Z509" s="20"/>
      <c r="AA509" s="11"/>
      <c r="AB509" s="20"/>
      <c r="AC509" s="24" t="s">
        <v>69</v>
      </c>
      <c r="AD509" s="10" t="s">
        <v>47</v>
      </c>
      <c r="AE509" s="10">
        <v>43420</v>
      </c>
      <c r="AF509" s="8"/>
      <c r="AG509" s="10">
        <v>43455</v>
      </c>
      <c r="AH509" s="25">
        <f t="shared" si="84"/>
        <v>35</v>
      </c>
      <c r="AK509" s="27"/>
    </row>
    <row r="510" spans="1:37" s="26" customFormat="1" ht="15" customHeight="1" x14ac:dyDescent="0.45">
      <c r="A510" s="28" t="s">
        <v>41</v>
      </c>
      <c r="B510" s="8" t="s">
        <v>357</v>
      </c>
      <c r="C510" s="8" t="s">
        <v>57</v>
      </c>
      <c r="D510" s="9"/>
      <c r="E510" s="9"/>
      <c r="F510" s="10">
        <v>43515</v>
      </c>
      <c r="G510" s="11">
        <v>43515</v>
      </c>
      <c r="H510" s="51">
        <v>43517</v>
      </c>
      <c r="I510" s="52"/>
      <c r="J510" s="14">
        <f>G510+14</f>
        <v>43529</v>
      </c>
      <c r="K510" s="51">
        <f>J510+14</f>
        <v>43543</v>
      </c>
      <c r="L510" s="9"/>
      <c r="M510" s="10" t="str">
        <f t="shared" si="78"/>
        <v>Feb-19</v>
      </c>
      <c r="N510" s="10" t="str">
        <f t="shared" si="79"/>
        <v>Mar-19</v>
      </c>
      <c r="O510" s="17" t="s">
        <v>1193</v>
      </c>
      <c r="P510" s="33" t="s">
        <v>1074</v>
      </c>
      <c r="Q510" s="45">
        <v>1682.01</v>
      </c>
      <c r="R510" s="45">
        <v>2839.13</v>
      </c>
      <c r="S510" s="45">
        <f t="shared" si="88"/>
        <v>4521.1400000000003</v>
      </c>
      <c r="T510" s="146">
        <f t="shared" si="80"/>
        <v>4973.2540000000008</v>
      </c>
      <c r="U510" s="65"/>
      <c r="V510" s="65"/>
      <c r="W510" s="21">
        <f t="shared" si="83"/>
        <v>0</v>
      </c>
      <c r="X510" s="22">
        <f t="shared" si="81"/>
        <v>4521.1400000000003</v>
      </c>
      <c r="Y510" s="35">
        <f t="shared" si="82"/>
        <v>1</v>
      </c>
      <c r="Z510" s="20"/>
      <c r="AA510" s="11"/>
      <c r="AB510" s="20"/>
      <c r="AC510" s="24" t="s">
        <v>73</v>
      </c>
      <c r="AD510" s="10" t="s">
        <v>47</v>
      </c>
      <c r="AE510" s="10">
        <v>43423</v>
      </c>
      <c r="AF510" s="8"/>
      <c r="AG510" s="10">
        <v>43440</v>
      </c>
      <c r="AH510" s="25">
        <f t="shared" si="84"/>
        <v>17</v>
      </c>
      <c r="AK510" s="27"/>
    </row>
    <row r="511" spans="1:37" s="26" customFormat="1" ht="15" customHeight="1" x14ac:dyDescent="0.45">
      <c r="A511" s="28" t="s">
        <v>41</v>
      </c>
      <c r="B511" s="8" t="s">
        <v>357</v>
      </c>
      <c r="C511" s="8" t="s">
        <v>57</v>
      </c>
      <c r="D511" s="9"/>
      <c r="E511" s="9"/>
      <c r="F511" s="10">
        <v>43532</v>
      </c>
      <c r="G511" s="11">
        <v>43532</v>
      </c>
      <c r="H511" s="11">
        <v>43532</v>
      </c>
      <c r="I511" s="52"/>
      <c r="J511" s="51">
        <f>G511+14</f>
        <v>43546</v>
      </c>
      <c r="K511" s="51">
        <f>J511+14</f>
        <v>43560</v>
      </c>
      <c r="L511" s="9"/>
      <c r="M511" s="10" t="str">
        <f t="shared" si="78"/>
        <v>Mar-19</v>
      </c>
      <c r="N511" s="10" t="str">
        <f t="shared" si="79"/>
        <v>Apr-19</v>
      </c>
      <c r="O511" s="17" t="s">
        <v>1194</v>
      </c>
      <c r="P511" s="33" t="s">
        <v>1195</v>
      </c>
      <c r="Q511" s="45">
        <v>1671.26</v>
      </c>
      <c r="R511" s="45">
        <v>3401.598</v>
      </c>
      <c r="S511" s="45">
        <f t="shared" si="88"/>
        <v>5072.8580000000002</v>
      </c>
      <c r="T511" s="146">
        <f t="shared" si="80"/>
        <v>5580.1438000000007</v>
      </c>
      <c r="U511" s="65"/>
      <c r="V511" s="65"/>
      <c r="W511" s="21">
        <f t="shared" si="83"/>
        <v>0</v>
      </c>
      <c r="X511" s="22">
        <f t="shared" si="81"/>
        <v>5072.8580000000002</v>
      </c>
      <c r="Y511" s="35">
        <f t="shared" si="82"/>
        <v>1</v>
      </c>
      <c r="Z511" s="20"/>
      <c r="AA511" s="11"/>
      <c r="AB511" s="20"/>
      <c r="AC511" s="24" t="s">
        <v>73</v>
      </c>
      <c r="AD511" s="10" t="s">
        <v>47</v>
      </c>
      <c r="AE511" s="10">
        <v>43423</v>
      </c>
      <c r="AF511" s="8"/>
      <c r="AG511" s="10">
        <v>43498</v>
      </c>
      <c r="AH511" s="25">
        <f t="shared" si="84"/>
        <v>75</v>
      </c>
      <c r="AK511" s="27"/>
    </row>
    <row r="512" spans="1:37" s="26" customFormat="1" ht="15" customHeight="1" x14ac:dyDescent="0.45">
      <c r="A512" s="28" t="s">
        <v>41</v>
      </c>
      <c r="B512" s="8" t="s">
        <v>373</v>
      </c>
      <c r="C512" s="28" t="s">
        <v>43</v>
      </c>
      <c r="D512" s="9"/>
      <c r="E512" s="9"/>
      <c r="F512" s="10">
        <v>43531</v>
      </c>
      <c r="G512" s="11">
        <v>43531</v>
      </c>
      <c r="H512" s="51">
        <v>43536</v>
      </c>
      <c r="I512" s="52"/>
      <c r="J512" s="51">
        <f>G512+14</f>
        <v>43545</v>
      </c>
      <c r="K512" s="51">
        <f>J512+14</f>
        <v>43559</v>
      </c>
      <c r="L512" s="9"/>
      <c r="M512" s="10" t="str">
        <f t="shared" si="78"/>
        <v>Mar-19</v>
      </c>
      <c r="N512" s="10" t="str">
        <f t="shared" si="79"/>
        <v>Apr-19</v>
      </c>
      <c r="O512" s="17" t="s">
        <v>1196</v>
      </c>
      <c r="P512" s="33" t="s">
        <v>1197</v>
      </c>
      <c r="Q512" s="45">
        <v>2337.7199999999998</v>
      </c>
      <c r="R512" s="45">
        <v>14000.67</v>
      </c>
      <c r="S512" s="45">
        <f t="shared" si="88"/>
        <v>16338.39</v>
      </c>
      <c r="T512" s="146">
        <f t="shared" si="80"/>
        <v>17972.228999999999</v>
      </c>
      <c r="U512" s="65">
        <v>1747.7399999999998</v>
      </c>
      <c r="V512" s="65"/>
      <c r="W512" s="21">
        <f t="shared" si="83"/>
        <v>1747.7399999999998</v>
      </c>
      <c r="X512" s="22">
        <f t="shared" si="81"/>
        <v>14590.65</v>
      </c>
      <c r="Y512" s="35">
        <f t="shared" si="82"/>
        <v>0.89302862766772007</v>
      </c>
      <c r="Z512" s="20"/>
      <c r="AA512" s="11"/>
      <c r="AB512" s="20"/>
      <c r="AC512" s="24" t="s">
        <v>73</v>
      </c>
      <c r="AD512" s="10" t="s">
        <v>47</v>
      </c>
      <c r="AE512" s="10">
        <v>43423</v>
      </c>
      <c r="AF512" s="8"/>
      <c r="AG512" s="10">
        <v>43502</v>
      </c>
      <c r="AH512" s="25">
        <f t="shared" si="84"/>
        <v>79</v>
      </c>
      <c r="AK512" s="27"/>
    </row>
    <row r="513" spans="1:37" s="26" customFormat="1" ht="15" customHeight="1" x14ac:dyDescent="0.45">
      <c r="A513" s="28" t="s">
        <v>41</v>
      </c>
      <c r="B513" s="8" t="s">
        <v>373</v>
      </c>
      <c r="C513" s="28" t="s">
        <v>43</v>
      </c>
      <c r="D513" s="9"/>
      <c r="E513" s="9"/>
      <c r="F513" s="10"/>
      <c r="G513" s="11">
        <v>43554</v>
      </c>
      <c r="H513" s="51"/>
      <c r="I513" s="52"/>
      <c r="J513" s="51"/>
      <c r="K513" s="51"/>
      <c r="L513" s="9"/>
      <c r="M513" s="10" t="str">
        <f t="shared" si="78"/>
        <v>Mar-19</v>
      </c>
      <c r="N513" s="10" t="str">
        <f t="shared" si="79"/>
        <v>Jan-00</v>
      </c>
      <c r="O513" s="17" t="s">
        <v>1198</v>
      </c>
      <c r="P513" s="33" t="s">
        <v>1199</v>
      </c>
      <c r="Q513" s="45">
        <v>1007.09</v>
      </c>
      <c r="R513" s="45"/>
      <c r="S513" s="45">
        <f t="shared" si="88"/>
        <v>1007.09</v>
      </c>
      <c r="T513" s="146">
        <f t="shared" si="80"/>
        <v>1107.7990000000002</v>
      </c>
      <c r="U513" s="65"/>
      <c r="V513" s="65"/>
      <c r="W513" s="21">
        <f t="shared" si="83"/>
        <v>0</v>
      </c>
      <c r="X513" s="22">
        <f t="shared" si="81"/>
        <v>1007.09</v>
      </c>
      <c r="Y513" s="35">
        <f t="shared" si="82"/>
        <v>1</v>
      </c>
      <c r="Z513" s="20"/>
      <c r="AA513" s="11"/>
      <c r="AB513" s="20"/>
      <c r="AC513" s="24" t="s">
        <v>73</v>
      </c>
      <c r="AD513" s="10" t="s">
        <v>47</v>
      </c>
      <c r="AE513" s="10">
        <v>43423</v>
      </c>
      <c r="AF513" s="8"/>
      <c r="AG513" s="10">
        <v>43502</v>
      </c>
      <c r="AH513" s="25">
        <f t="shared" si="84"/>
        <v>79</v>
      </c>
      <c r="AK513" s="27"/>
    </row>
    <row r="514" spans="1:37" s="26" customFormat="1" ht="15" customHeight="1" x14ac:dyDescent="0.45">
      <c r="A514" s="28" t="s">
        <v>41</v>
      </c>
      <c r="B514" s="8" t="s">
        <v>42</v>
      </c>
      <c r="C514" s="28" t="s">
        <v>43</v>
      </c>
      <c r="D514" s="9"/>
      <c r="E514" s="9"/>
      <c r="F514" s="10">
        <v>43538</v>
      </c>
      <c r="G514" s="11">
        <v>43538</v>
      </c>
      <c r="H514" s="51">
        <v>43538</v>
      </c>
      <c r="I514" s="52"/>
      <c r="J514" s="51">
        <f>G514+14</f>
        <v>43552</v>
      </c>
      <c r="K514" s="51">
        <f>J514+14</f>
        <v>43566</v>
      </c>
      <c r="L514" s="9"/>
      <c r="M514" s="10" t="str">
        <f t="shared" ref="M514:M577" si="89">TEXT(G514,"mmm-yy")</f>
        <v>Mar-19</v>
      </c>
      <c r="N514" s="10" t="str">
        <f t="shared" ref="N514:N554" si="90">TEXT(K514,"mmm-yy")</f>
        <v>Apr-19</v>
      </c>
      <c r="O514" s="17" t="s">
        <v>1200</v>
      </c>
      <c r="P514" s="33" t="s">
        <v>1041</v>
      </c>
      <c r="Q514" s="45">
        <v>536.97</v>
      </c>
      <c r="R514" s="45">
        <v>208.16</v>
      </c>
      <c r="S514" s="45">
        <f t="shared" si="88"/>
        <v>745.13</v>
      </c>
      <c r="T514" s="146">
        <f t="shared" ref="T514:T554" si="91">S514*1.1</f>
        <v>819.64300000000003</v>
      </c>
      <c r="U514" s="65"/>
      <c r="V514" s="65"/>
      <c r="W514" s="21">
        <f t="shared" si="83"/>
        <v>0</v>
      </c>
      <c r="X514" s="22">
        <f t="shared" ref="X514:X577" si="92">S514-W514</f>
        <v>745.13</v>
      </c>
      <c r="Y514" s="35">
        <f t="shared" ref="Y514:Y577" si="93">X514/S514</f>
        <v>1</v>
      </c>
      <c r="Z514" s="20"/>
      <c r="AA514" s="11"/>
      <c r="AB514" s="20"/>
      <c r="AC514" s="24" t="s">
        <v>73</v>
      </c>
      <c r="AD514" s="10" t="s">
        <v>47</v>
      </c>
      <c r="AE514" s="10">
        <v>43424</v>
      </c>
      <c r="AF514" s="8"/>
      <c r="AG514" s="10">
        <v>43480</v>
      </c>
      <c r="AH514" s="25">
        <f t="shared" si="84"/>
        <v>56</v>
      </c>
      <c r="AK514" s="27"/>
    </row>
    <row r="515" spans="1:37" s="26" customFormat="1" ht="15" customHeight="1" x14ac:dyDescent="0.45">
      <c r="A515" s="28" t="s">
        <v>41</v>
      </c>
      <c r="B515" s="8" t="s">
        <v>146</v>
      </c>
      <c r="C515" s="8" t="s">
        <v>36</v>
      </c>
      <c r="D515" s="9"/>
      <c r="E515" s="9"/>
      <c r="F515" s="10"/>
      <c r="G515" s="11">
        <v>43524</v>
      </c>
      <c r="H515" s="51"/>
      <c r="I515" s="52"/>
      <c r="J515" s="51"/>
      <c r="K515" s="51"/>
      <c r="L515" s="9"/>
      <c r="M515" s="10" t="str">
        <f t="shared" si="89"/>
        <v>Feb-19</v>
      </c>
      <c r="N515" s="10" t="str">
        <f t="shared" si="90"/>
        <v>Jan-00</v>
      </c>
      <c r="O515" s="17" t="s">
        <v>1201</v>
      </c>
      <c r="P515" s="33" t="s">
        <v>1081</v>
      </c>
      <c r="Q515" s="45">
        <v>748.98</v>
      </c>
      <c r="R515" s="45"/>
      <c r="S515" s="45">
        <f t="shared" si="88"/>
        <v>748.98</v>
      </c>
      <c r="T515" s="146">
        <f t="shared" si="91"/>
        <v>823.87800000000004</v>
      </c>
      <c r="U515" s="65"/>
      <c r="V515" s="65"/>
      <c r="W515" s="21">
        <f t="shared" si="83"/>
        <v>0</v>
      </c>
      <c r="X515" s="22">
        <f t="shared" si="92"/>
        <v>748.98</v>
      </c>
      <c r="Y515" s="35">
        <f t="shared" si="93"/>
        <v>1</v>
      </c>
      <c r="Z515" s="20"/>
      <c r="AA515" s="11"/>
      <c r="AB515" s="20"/>
      <c r="AC515" s="24" t="s">
        <v>73</v>
      </c>
      <c r="AD515" s="10" t="s">
        <v>47</v>
      </c>
      <c r="AE515" s="10">
        <v>43426</v>
      </c>
      <c r="AF515" s="8"/>
      <c r="AG515" s="10">
        <v>43502</v>
      </c>
      <c r="AH515" s="25">
        <f t="shared" si="84"/>
        <v>76</v>
      </c>
      <c r="AK515" s="27"/>
    </row>
    <row r="516" spans="1:37" s="26" customFormat="1" ht="15" customHeight="1" x14ac:dyDescent="0.45">
      <c r="A516" s="28" t="s">
        <v>41</v>
      </c>
      <c r="B516" s="8" t="s">
        <v>56</v>
      </c>
      <c r="C516" s="8" t="s">
        <v>57</v>
      </c>
      <c r="D516" s="9"/>
      <c r="E516" s="9"/>
      <c r="F516" s="10">
        <v>43510</v>
      </c>
      <c r="G516" s="10">
        <v>43510</v>
      </c>
      <c r="H516" s="10">
        <v>43510</v>
      </c>
      <c r="I516" s="52"/>
      <c r="J516" s="51">
        <f>H516+14</f>
        <v>43524</v>
      </c>
      <c r="K516" s="51">
        <f>J516+14</f>
        <v>43538</v>
      </c>
      <c r="L516" s="9"/>
      <c r="M516" s="10" t="str">
        <f t="shared" si="89"/>
        <v>Feb-19</v>
      </c>
      <c r="N516" s="10" t="str">
        <f t="shared" si="90"/>
        <v>Mar-19</v>
      </c>
      <c r="O516" s="17" t="s">
        <v>1202</v>
      </c>
      <c r="P516" s="33" t="s">
        <v>1203</v>
      </c>
      <c r="Q516" s="45">
        <v>1631.42</v>
      </c>
      <c r="R516" s="45">
        <v>2960.5600000000004</v>
      </c>
      <c r="S516" s="45">
        <f t="shared" si="88"/>
        <v>4591.9800000000005</v>
      </c>
      <c r="T516" s="146">
        <f t="shared" si="91"/>
        <v>5051.1780000000008</v>
      </c>
      <c r="U516" s="65">
        <v>3261.51</v>
      </c>
      <c r="V516" s="65"/>
      <c r="W516" s="21">
        <f t="shared" si="83"/>
        <v>3261.51</v>
      </c>
      <c r="X516" s="46">
        <f t="shared" si="92"/>
        <v>1330.4700000000003</v>
      </c>
      <c r="Y516" s="35">
        <f t="shared" si="93"/>
        <v>0.28973776018188235</v>
      </c>
      <c r="Z516" s="20"/>
      <c r="AA516" s="11"/>
      <c r="AB516" s="20"/>
      <c r="AC516" s="24" t="s">
        <v>73</v>
      </c>
      <c r="AD516" s="10" t="s">
        <v>47</v>
      </c>
      <c r="AE516" s="10">
        <v>43426</v>
      </c>
      <c r="AF516" s="8"/>
      <c r="AG516" s="10">
        <v>43504</v>
      </c>
      <c r="AH516" s="25">
        <f t="shared" si="84"/>
        <v>78</v>
      </c>
      <c r="AK516" s="27"/>
    </row>
    <row r="517" spans="1:37" s="26" customFormat="1" ht="15" customHeight="1" x14ac:dyDescent="0.45">
      <c r="A517" s="28" t="s">
        <v>1127</v>
      </c>
      <c r="B517" s="8" t="s">
        <v>35</v>
      </c>
      <c r="C517" s="8" t="s">
        <v>378</v>
      </c>
      <c r="D517" s="9" t="s">
        <v>1204</v>
      </c>
      <c r="E517" s="9">
        <v>43529</v>
      </c>
      <c r="F517" s="10">
        <v>43481</v>
      </c>
      <c r="G517" s="10">
        <v>43481</v>
      </c>
      <c r="H517" s="14">
        <v>43503</v>
      </c>
      <c r="I517" s="54">
        <v>43511</v>
      </c>
      <c r="J517" s="77">
        <v>43496</v>
      </c>
      <c r="K517" s="14">
        <v>43493</v>
      </c>
      <c r="L517" s="9"/>
      <c r="M517" s="10" t="str">
        <f t="shared" si="89"/>
        <v>Jan-19</v>
      </c>
      <c r="N517" s="10" t="str">
        <f t="shared" si="90"/>
        <v>Jan-19</v>
      </c>
      <c r="O517" s="143" t="s">
        <v>1205</v>
      </c>
      <c r="P517" s="144" t="s">
        <v>370</v>
      </c>
      <c r="Q517" s="45">
        <v>30623</v>
      </c>
      <c r="R517" s="45">
        <v>18285</v>
      </c>
      <c r="S517" s="45">
        <f t="shared" si="88"/>
        <v>48908</v>
      </c>
      <c r="T517" s="146">
        <f t="shared" si="91"/>
        <v>53798.8</v>
      </c>
      <c r="U517" s="65">
        <v>17225</v>
      </c>
      <c r="V517" s="65"/>
      <c r="W517" s="21">
        <f t="shared" si="83"/>
        <v>17225</v>
      </c>
      <c r="X517" s="22">
        <f t="shared" si="92"/>
        <v>31683</v>
      </c>
      <c r="Y517" s="35">
        <f t="shared" si="93"/>
        <v>0.64780812954935796</v>
      </c>
      <c r="Z517" s="20"/>
      <c r="AA517" s="11"/>
      <c r="AB517" s="20"/>
      <c r="AC517" s="24" t="s">
        <v>1130</v>
      </c>
      <c r="AD517" s="10">
        <v>43426</v>
      </c>
      <c r="AE517" s="10">
        <v>43433</v>
      </c>
      <c r="AF517" s="8"/>
      <c r="AG517" s="10">
        <v>43455</v>
      </c>
      <c r="AH517" s="25">
        <f t="shared" si="84"/>
        <v>22</v>
      </c>
      <c r="AK517" s="27"/>
    </row>
    <row r="518" spans="1:37" s="26" customFormat="1" ht="15" customHeight="1" x14ac:dyDescent="0.45">
      <c r="A518" s="28" t="s">
        <v>1127</v>
      </c>
      <c r="B518" s="8" t="s">
        <v>35</v>
      </c>
      <c r="C518" s="8" t="s">
        <v>378</v>
      </c>
      <c r="D518" s="9" t="s">
        <v>1206</v>
      </c>
      <c r="E518" s="9">
        <v>43514</v>
      </c>
      <c r="F518" s="10">
        <v>43481</v>
      </c>
      <c r="G518" s="10">
        <v>43481</v>
      </c>
      <c r="H518" s="14">
        <v>43481</v>
      </c>
      <c r="I518" s="54">
        <v>43488</v>
      </c>
      <c r="J518" s="77">
        <v>43496</v>
      </c>
      <c r="K518" s="15">
        <v>43514</v>
      </c>
      <c r="L518" s="9"/>
      <c r="M518" s="10" t="str">
        <f t="shared" si="89"/>
        <v>Jan-19</v>
      </c>
      <c r="N518" s="10" t="str">
        <f t="shared" si="90"/>
        <v>Feb-19</v>
      </c>
      <c r="O518" s="143" t="s">
        <v>1207</v>
      </c>
      <c r="P518" s="144" t="s">
        <v>370</v>
      </c>
      <c r="Q518" s="45">
        <v>13451</v>
      </c>
      <c r="R518" s="45">
        <v>9540</v>
      </c>
      <c r="S518" s="45">
        <f t="shared" si="88"/>
        <v>22991</v>
      </c>
      <c r="T518" s="146">
        <f t="shared" si="91"/>
        <v>25290.100000000002</v>
      </c>
      <c r="U518" s="65">
        <v>6370</v>
      </c>
      <c r="V518" s="65"/>
      <c r="W518" s="21">
        <f t="shared" ref="W518:W581" si="94">SUM(U518:V518)</f>
        <v>6370</v>
      </c>
      <c r="X518" s="22">
        <f t="shared" si="92"/>
        <v>16621</v>
      </c>
      <c r="Y518" s="35">
        <f t="shared" si="93"/>
        <v>0.72293506154582232</v>
      </c>
      <c r="Z518" s="20"/>
      <c r="AA518" s="11"/>
      <c r="AB518" s="20"/>
      <c r="AC518" s="24" t="s">
        <v>1130</v>
      </c>
      <c r="AD518" s="10">
        <v>43426</v>
      </c>
      <c r="AE518" s="10">
        <v>43433</v>
      </c>
      <c r="AF518" s="8"/>
      <c r="AG518" s="10">
        <v>43448</v>
      </c>
      <c r="AH518" s="25">
        <f t="shared" si="84"/>
        <v>15</v>
      </c>
      <c r="AK518" s="27"/>
    </row>
    <row r="519" spans="1:37" s="26" customFormat="1" ht="15" customHeight="1" x14ac:dyDescent="0.45">
      <c r="A519" s="8" t="s">
        <v>805</v>
      </c>
      <c r="B519" s="8" t="s">
        <v>297</v>
      </c>
      <c r="C519" s="8" t="s">
        <v>36</v>
      </c>
      <c r="D519" s="9"/>
      <c r="E519" s="9"/>
      <c r="F519" s="10"/>
      <c r="G519" s="11">
        <v>43554</v>
      </c>
      <c r="H519" s="51">
        <v>43535</v>
      </c>
      <c r="I519" s="52"/>
      <c r="J519" s="51">
        <f>G519+14</f>
        <v>43568</v>
      </c>
      <c r="K519" s="51">
        <f>J519+14</f>
        <v>43582</v>
      </c>
      <c r="L519" s="9"/>
      <c r="M519" s="10" t="str">
        <f t="shared" si="89"/>
        <v>Mar-19</v>
      </c>
      <c r="N519" s="10" t="str">
        <f t="shared" si="90"/>
        <v>Apr-19</v>
      </c>
      <c r="O519" s="50" t="s">
        <v>1208</v>
      </c>
      <c r="P519" s="50" t="s">
        <v>1209</v>
      </c>
      <c r="Q519" s="45">
        <v>3522.8</v>
      </c>
      <c r="R519" s="45">
        <v>5222.7240000000011</v>
      </c>
      <c r="S519" s="45">
        <f t="shared" si="88"/>
        <v>8745.5240000000013</v>
      </c>
      <c r="T519" s="146">
        <f t="shared" si="91"/>
        <v>9620.0764000000017</v>
      </c>
      <c r="U519" s="65">
        <v>1395.3</v>
      </c>
      <c r="V519" s="65"/>
      <c r="W519" s="21">
        <f t="shared" si="94"/>
        <v>1395.3</v>
      </c>
      <c r="X519" s="22">
        <f t="shared" si="92"/>
        <v>7350.2240000000011</v>
      </c>
      <c r="Y519" s="35">
        <f t="shared" si="93"/>
        <v>0.84045552902261778</v>
      </c>
      <c r="Z519" s="20"/>
      <c r="AA519" s="11"/>
      <c r="AB519" s="20"/>
      <c r="AC519" s="24" t="s">
        <v>69</v>
      </c>
      <c r="AD519" s="10">
        <v>43420</v>
      </c>
      <c r="AE519" s="10">
        <v>43427</v>
      </c>
      <c r="AF519" s="63">
        <f>AE519-AD519</f>
        <v>7</v>
      </c>
      <c r="AG519" s="10">
        <v>43460</v>
      </c>
      <c r="AH519" s="25">
        <f t="shared" si="84"/>
        <v>33</v>
      </c>
      <c r="AK519" s="27"/>
    </row>
    <row r="520" spans="1:37" s="26" customFormat="1" ht="15" customHeight="1" x14ac:dyDescent="0.45">
      <c r="A520" s="28" t="s">
        <v>802</v>
      </c>
      <c r="B520" s="8" t="s">
        <v>863</v>
      </c>
      <c r="C520" s="28" t="s">
        <v>43</v>
      </c>
      <c r="D520" s="9"/>
      <c r="E520" s="9"/>
      <c r="F520" s="10">
        <v>43514</v>
      </c>
      <c r="G520" s="11">
        <v>43514</v>
      </c>
      <c r="H520" s="14">
        <v>43514</v>
      </c>
      <c r="I520" s="54">
        <v>43522</v>
      </c>
      <c r="J520" s="14">
        <f>G520+14</f>
        <v>43528</v>
      </c>
      <c r="K520" s="51">
        <f>J520+14</f>
        <v>43542</v>
      </c>
      <c r="L520" s="9"/>
      <c r="M520" s="10" t="str">
        <f t="shared" si="89"/>
        <v>Feb-19</v>
      </c>
      <c r="N520" s="10" t="str">
        <f t="shared" si="90"/>
        <v>Mar-19</v>
      </c>
      <c r="O520" s="130" t="s">
        <v>1210</v>
      </c>
      <c r="P520" s="130" t="s">
        <v>1211</v>
      </c>
      <c r="Q520" s="45">
        <v>35556.080000000002</v>
      </c>
      <c r="R520" s="45">
        <v>46751.81</v>
      </c>
      <c r="S520" s="45">
        <f t="shared" si="88"/>
        <v>82307.89</v>
      </c>
      <c r="T520" s="146">
        <f t="shared" si="91"/>
        <v>90538.679000000004</v>
      </c>
      <c r="U520" s="65">
        <v>38337.51</v>
      </c>
      <c r="V520" s="65"/>
      <c r="W520" s="21">
        <f t="shared" si="94"/>
        <v>38337.51</v>
      </c>
      <c r="X520" s="22">
        <f t="shared" si="92"/>
        <v>43970.38</v>
      </c>
      <c r="Y520" s="35">
        <f t="shared" si="93"/>
        <v>0.53421828697103035</v>
      </c>
      <c r="Z520" s="20"/>
      <c r="AA520" s="11"/>
      <c r="AB520" s="20"/>
      <c r="AC520" s="24" t="s">
        <v>128</v>
      </c>
      <c r="AD520" s="10">
        <v>43412</v>
      </c>
      <c r="AE520" s="10">
        <v>43444</v>
      </c>
      <c r="AF520" s="63">
        <f>AE520-AD520</f>
        <v>32</v>
      </c>
      <c r="AG520" s="10">
        <v>43458</v>
      </c>
      <c r="AH520" s="25">
        <f t="shared" ref="AH520:AH552" si="95">AG520-AE520</f>
        <v>14</v>
      </c>
      <c r="AK520" s="27"/>
    </row>
    <row r="521" spans="1:37" s="26" customFormat="1" ht="15" customHeight="1" x14ac:dyDescent="0.45">
      <c r="A521" s="28" t="s">
        <v>802</v>
      </c>
      <c r="B521" s="8" t="s">
        <v>35</v>
      </c>
      <c r="C521" s="8" t="s">
        <v>36</v>
      </c>
      <c r="D521" s="9" t="s">
        <v>1212</v>
      </c>
      <c r="E521" s="9">
        <v>43529</v>
      </c>
      <c r="F521" s="10">
        <v>43500</v>
      </c>
      <c r="G521" s="11">
        <v>43500</v>
      </c>
      <c r="H521" s="14">
        <v>43501</v>
      </c>
      <c r="I521" s="54">
        <v>43505</v>
      </c>
      <c r="J521" s="77">
        <f>G521+14</f>
        <v>43514</v>
      </c>
      <c r="K521" s="14">
        <v>43524</v>
      </c>
      <c r="L521" s="9"/>
      <c r="M521" s="10" t="str">
        <f t="shared" si="89"/>
        <v>Feb-19</v>
      </c>
      <c r="N521" s="10" t="str">
        <f t="shared" si="90"/>
        <v>Feb-19</v>
      </c>
      <c r="O521" s="130" t="s">
        <v>1213</v>
      </c>
      <c r="P521" s="130"/>
      <c r="Q521" s="45">
        <v>15453.91</v>
      </c>
      <c r="R521" s="45">
        <v>3990.99</v>
      </c>
      <c r="S521" s="45">
        <f t="shared" si="88"/>
        <v>19444.900000000001</v>
      </c>
      <c r="T521" s="146">
        <f t="shared" si="91"/>
        <v>21389.390000000003</v>
      </c>
      <c r="U521" s="65">
        <v>9611.86</v>
      </c>
      <c r="V521" s="65"/>
      <c r="W521" s="21">
        <f t="shared" si="94"/>
        <v>9611.86</v>
      </c>
      <c r="X521" s="22">
        <f t="shared" si="92"/>
        <v>9833.0400000000009</v>
      </c>
      <c r="Y521" s="35">
        <f t="shared" si="93"/>
        <v>0.50568735246774221</v>
      </c>
      <c r="Z521" s="20"/>
      <c r="AA521" s="11"/>
      <c r="AB521" s="20"/>
      <c r="AC521" s="24" t="s">
        <v>128</v>
      </c>
      <c r="AD521" s="10">
        <v>43412</v>
      </c>
      <c r="AE521" s="10">
        <v>43444</v>
      </c>
      <c r="AF521" s="63">
        <f>AE521-AD521</f>
        <v>32</v>
      </c>
      <c r="AG521" s="10">
        <v>43458</v>
      </c>
      <c r="AH521" s="25">
        <f t="shared" si="95"/>
        <v>14</v>
      </c>
      <c r="AK521" s="27"/>
    </row>
    <row r="522" spans="1:37" s="26" customFormat="1" ht="15" customHeight="1" x14ac:dyDescent="0.45">
      <c r="A522" s="28" t="s">
        <v>41</v>
      </c>
      <c r="B522" s="8" t="s">
        <v>42</v>
      </c>
      <c r="C522" s="28" t="s">
        <v>43</v>
      </c>
      <c r="D522" s="9"/>
      <c r="E522" s="9"/>
      <c r="F522" s="10"/>
      <c r="G522" s="11">
        <v>43554</v>
      </c>
      <c r="H522" s="51"/>
      <c r="I522" s="52"/>
      <c r="J522" s="51"/>
      <c r="K522" s="51"/>
      <c r="L522" s="9"/>
      <c r="M522" s="10" t="str">
        <f t="shared" si="89"/>
        <v>Mar-19</v>
      </c>
      <c r="N522" s="10" t="str">
        <f t="shared" si="90"/>
        <v>Jan-00</v>
      </c>
      <c r="O522" s="17" t="s">
        <v>1214</v>
      </c>
      <c r="P522" s="33" t="s">
        <v>1191</v>
      </c>
      <c r="Q522" s="45">
        <v>2919.27</v>
      </c>
      <c r="R522" s="45"/>
      <c r="S522" s="45">
        <f t="shared" si="88"/>
        <v>2919.27</v>
      </c>
      <c r="T522" s="146">
        <f t="shared" si="91"/>
        <v>3211.1970000000001</v>
      </c>
      <c r="U522" s="65"/>
      <c r="V522" s="65"/>
      <c r="W522" s="21">
        <f t="shared" si="94"/>
        <v>0</v>
      </c>
      <c r="X522" s="22">
        <f t="shared" si="92"/>
        <v>2919.27</v>
      </c>
      <c r="Y522" s="35">
        <f t="shared" si="93"/>
        <v>1</v>
      </c>
      <c r="Z522" s="20"/>
      <c r="AA522" s="11"/>
      <c r="AB522" s="20"/>
      <c r="AC522" s="24" t="s">
        <v>73</v>
      </c>
      <c r="AD522" s="10" t="s">
        <v>47</v>
      </c>
      <c r="AE522" s="10">
        <v>43430</v>
      </c>
      <c r="AF522" s="63"/>
      <c r="AG522" s="10">
        <v>43508</v>
      </c>
      <c r="AH522" s="25">
        <f t="shared" si="95"/>
        <v>78</v>
      </c>
      <c r="AK522" s="27"/>
    </row>
    <row r="523" spans="1:37" s="26" customFormat="1" ht="15" customHeight="1" x14ac:dyDescent="0.45">
      <c r="A523" s="28" t="s">
        <v>41</v>
      </c>
      <c r="B523" s="8" t="s">
        <v>373</v>
      </c>
      <c r="C523" s="28" t="s">
        <v>43</v>
      </c>
      <c r="D523" s="9"/>
      <c r="E523" s="9"/>
      <c r="F523" s="10"/>
      <c r="G523" s="11">
        <v>43524</v>
      </c>
      <c r="H523" s="51"/>
      <c r="I523" s="52"/>
      <c r="J523" s="51"/>
      <c r="K523" s="51"/>
      <c r="L523" s="9"/>
      <c r="M523" s="10" t="str">
        <f t="shared" si="89"/>
        <v>Feb-19</v>
      </c>
      <c r="N523" s="10" t="str">
        <f t="shared" si="90"/>
        <v>Jan-00</v>
      </c>
      <c r="O523" s="17" t="s">
        <v>1215</v>
      </c>
      <c r="P523" s="33" t="s">
        <v>1216</v>
      </c>
      <c r="Q523" s="45">
        <v>13668</v>
      </c>
      <c r="R523" s="45"/>
      <c r="S523" s="45">
        <f t="shared" si="88"/>
        <v>13668</v>
      </c>
      <c r="T523" s="146">
        <f t="shared" si="91"/>
        <v>15034.800000000001</v>
      </c>
      <c r="U523" s="65"/>
      <c r="V523" s="65"/>
      <c r="W523" s="21">
        <f t="shared" si="94"/>
        <v>0</v>
      </c>
      <c r="X523" s="22">
        <f t="shared" si="92"/>
        <v>13668</v>
      </c>
      <c r="Y523" s="35">
        <f t="shared" si="93"/>
        <v>1</v>
      </c>
      <c r="Z523" s="20"/>
      <c r="AA523" s="11"/>
      <c r="AB523" s="20"/>
      <c r="AC523" s="24" t="s">
        <v>73</v>
      </c>
      <c r="AD523" s="10" t="s">
        <v>47</v>
      </c>
      <c r="AE523" s="10">
        <v>43430</v>
      </c>
      <c r="AF523" s="63"/>
      <c r="AG523" s="10">
        <v>43490</v>
      </c>
      <c r="AH523" s="25">
        <f t="shared" si="95"/>
        <v>60</v>
      </c>
      <c r="AK523" s="27"/>
    </row>
    <row r="524" spans="1:37" s="26" customFormat="1" ht="15" customHeight="1" x14ac:dyDescent="0.45">
      <c r="A524" s="28" t="s">
        <v>41</v>
      </c>
      <c r="B524" s="8" t="s">
        <v>373</v>
      </c>
      <c r="C524" s="28" t="s">
        <v>43</v>
      </c>
      <c r="D524" s="9"/>
      <c r="E524" s="9"/>
      <c r="F524" s="10"/>
      <c r="G524" s="11">
        <v>43524</v>
      </c>
      <c r="H524" s="51"/>
      <c r="I524" s="52"/>
      <c r="J524" s="51"/>
      <c r="K524" s="51"/>
      <c r="L524" s="9"/>
      <c r="M524" s="10" t="str">
        <f t="shared" si="89"/>
        <v>Feb-19</v>
      </c>
      <c r="N524" s="10" t="str">
        <f t="shared" si="90"/>
        <v>Jan-00</v>
      </c>
      <c r="O524" s="17" t="s">
        <v>1217</v>
      </c>
      <c r="P524" s="33" t="s">
        <v>1216</v>
      </c>
      <c r="Q524" s="45">
        <v>3070.2</v>
      </c>
      <c r="R524" s="45"/>
      <c r="S524" s="45">
        <f t="shared" si="88"/>
        <v>3070.2</v>
      </c>
      <c r="T524" s="146">
        <f t="shared" si="91"/>
        <v>3377.2200000000003</v>
      </c>
      <c r="U524" s="65"/>
      <c r="V524" s="65"/>
      <c r="W524" s="21">
        <f t="shared" ref="W524" si="96">SUM(U524:V524)</f>
        <v>0</v>
      </c>
      <c r="X524" s="22">
        <f t="shared" si="92"/>
        <v>3070.2</v>
      </c>
      <c r="Y524" s="35">
        <f t="shared" si="93"/>
        <v>1</v>
      </c>
      <c r="Z524" s="20"/>
      <c r="AA524" s="11"/>
      <c r="AB524" s="20"/>
      <c r="AC524" s="24" t="s">
        <v>73</v>
      </c>
      <c r="AD524" s="10" t="s">
        <v>47</v>
      </c>
      <c r="AE524" s="10">
        <v>43433</v>
      </c>
      <c r="AF524" s="63"/>
      <c r="AG524" s="10">
        <v>43514</v>
      </c>
      <c r="AH524" s="25">
        <f t="shared" si="95"/>
        <v>81</v>
      </c>
      <c r="AK524" s="27"/>
    </row>
    <row r="525" spans="1:37" s="26" customFormat="1" ht="15" customHeight="1" x14ac:dyDescent="0.45">
      <c r="A525" s="28" t="s">
        <v>41</v>
      </c>
      <c r="B525" s="8" t="s">
        <v>357</v>
      </c>
      <c r="C525" s="8" t="s">
        <v>57</v>
      </c>
      <c r="D525" s="9"/>
      <c r="E525" s="9"/>
      <c r="F525" s="10"/>
      <c r="G525" s="11">
        <v>43524</v>
      </c>
      <c r="H525" s="51"/>
      <c r="I525" s="52"/>
      <c r="J525" s="51"/>
      <c r="K525" s="51"/>
      <c r="L525" s="9"/>
      <c r="M525" s="10" t="str">
        <f t="shared" si="89"/>
        <v>Feb-19</v>
      </c>
      <c r="N525" s="10" t="str">
        <f t="shared" si="90"/>
        <v>Jan-00</v>
      </c>
      <c r="O525" s="17" t="s">
        <v>1218</v>
      </c>
      <c r="P525" s="33" t="s">
        <v>1219</v>
      </c>
      <c r="Q525" s="45">
        <v>636.87</v>
      </c>
      <c r="R525" s="45"/>
      <c r="S525" s="45">
        <f t="shared" si="88"/>
        <v>636.87</v>
      </c>
      <c r="T525" s="146">
        <f t="shared" si="91"/>
        <v>700.55700000000002</v>
      </c>
      <c r="U525" s="65"/>
      <c r="V525" s="65"/>
      <c r="W525" s="21">
        <f t="shared" si="94"/>
        <v>0</v>
      </c>
      <c r="X525" s="22">
        <f t="shared" si="92"/>
        <v>636.87</v>
      </c>
      <c r="Y525" s="35">
        <f t="shared" si="93"/>
        <v>1</v>
      </c>
      <c r="Z525" s="20"/>
      <c r="AA525" s="11"/>
      <c r="AB525" s="20"/>
      <c r="AC525" s="24" t="s">
        <v>73</v>
      </c>
      <c r="AD525" s="10" t="s">
        <v>47</v>
      </c>
      <c r="AE525" s="10">
        <v>43431</v>
      </c>
      <c r="AF525" s="63"/>
      <c r="AG525" s="10">
        <v>43509</v>
      </c>
      <c r="AH525" s="25">
        <f t="shared" si="95"/>
        <v>78</v>
      </c>
      <c r="AK525" s="27"/>
    </row>
    <row r="526" spans="1:37" s="26" customFormat="1" ht="15" customHeight="1" x14ac:dyDescent="0.45">
      <c r="A526" s="28" t="s">
        <v>41</v>
      </c>
      <c r="B526" s="8" t="s">
        <v>146</v>
      </c>
      <c r="C526" s="8" t="s">
        <v>36</v>
      </c>
      <c r="D526" s="9"/>
      <c r="E526" s="9"/>
      <c r="F526" s="10"/>
      <c r="G526" s="11">
        <v>43554</v>
      </c>
      <c r="H526" s="51"/>
      <c r="I526" s="52"/>
      <c r="J526" s="51"/>
      <c r="K526" s="51"/>
      <c r="L526" s="9"/>
      <c r="M526" s="10" t="str">
        <f t="shared" si="89"/>
        <v>Mar-19</v>
      </c>
      <c r="N526" s="10" t="str">
        <f t="shared" si="90"/>
        <v>Jan-00</v>
      </c>
      <c r="O526" s="17" t="s">
        <v>1220</v>
      </c>
      <c r="P526" s="33" t="s">
        <v>1221</v>
      </c>
      <c r="Q526" s="45">
        <v>5278.64</v>
      </c>
      <c r="R526" s="45"/>
      <c r="S526" s="45">
        <f t="shared" si="88"/>
        <v>5278.64</v>
      </c>
      <c r="T526" s="146">
        <f t="shared" si="91"/>
        <v>5806.5040000000008</v>
      </c>
      <c r="U526" s="65">
        <v>2805.2</v>
      </c>
      <c r="V526" s="65"/>
      <c r="W526" s="21">
        <f t="shared" si="94"/>
        <v>2805.2</v>
      </c>
      <c r="X526" s="22">
        <f t="shared" si="92"/>
        <v>2473.4400000000005</v>
      </c>
      <c r="Y526" s="35">
        <f t="shared" si="93"/>
        <v>0.46857523907673193</v>
      </c>
      <c r="Z526" s="20"/>
      <c r="AA526" s="11"/>
      <c r="AB526" s="20"/>
      <c r="AC526" s="24" t="s">
        <v>73</v>
      </c>
      <c r="AD526" s="10" t="s">
        <v>47</v>
      </c>
      <c r="AE526" s="10">
        <v>43431</v>
      </c>
      <c r="AF526" s="63"/>
      <c r="AG526" s="10">
        <v>43509</v>
      </c>
      <c r="AH526" s="25">
        <f t="shared" si="95"/>
        <v>78</v>
      </c>
      <c r="AK526" s="27"/>
    </row>
    <row r="527" spans="1:37" s="26" customFormat="1" ht="15" customHeight="1" x14ac:dyDescent="0.45">
      <c r="A527" s="28" t="s">
        <v>41</v>
      </c>
      <c r="B527" s="8" t="s">
        <v>42</v>
      </c>
      <c r="C527" s="28" t="s">
        <v>43</v>
      </c>
      <c r="D527" s="9"/>
      <c r="E527" s="9"/>
      <c r="F527" s="10"/>
      <c r="G527" s="11">
        <v>43554</v>
      </c>
      <c r="H527" s="51"/>
      <c r="I527" s="52"/>
      <c r="J527" s="51"/>
      <c r="K527" s="51"/>
      <c r="L527" s="9"/>
      <c r="M527" s="10" t="str">
        <f t="shared" si="89"/>
        <v>Mar-19</v>
      </c>
      <c r="N527" s="10" t="str">
        <f t="shared" si="90"/>
        <v>Jan-00</v>
      </c>
      <c r="O527" s="17" t="s">
        <v>1222</v>
      </c>
      <c r="P527" s="33" t="s">
        <v>98</v>
      </c>
      <c r="Q527" s="45">
        <v>1106.42</v>
      </c>
      <c r="R527" s="45"/>
      <c r="S527" s="45">
        <f t="shared" si="88"/>
        <v>1106.42</v>
      </c>
      <c r="T527" s="146">
        <f t="shared" si="91"/>
        <v>1217.0620000000001</v>
      </c>
      <c r="U527" s="65">
        <f>300+53.76</f>
        <v>353.76</v>
      </c>
      <c r="V527" s="65"/>
      <c r="W527" s="21">
        <f t="shared" si="94"/>
        <v>353.76</v>
      </c>
      <c r="X527" s="22">
        <f t="shared" si="92"/>
        <v>752.66000000000008</v>
      </c>
      <c r="Y527" s="35">
        <f t="shared" si="93"/>
        <v>0.6802660834041323</v>
      </c>
      <c r="Z527" s="20"/>
      <c r="AA527" s="11"/>
      <c r="AB527" s="20"/>
      <c r="AC527" s="24" t="s">
        <v>73</v>
      </c>
      <c r="AD527" s="10" t="s">
        <v>47</v>
      </c>
      <c r="AE527" s="10">
        <v>43431</v>
      </c>
      <c r="AF527" s="63"/>
      <c r="AG527" s="10">
        <v>43509</v>
      </c>
      <c r="AH527" s="25">
        <f t="shared" si="95"/>
        <v>78</v>
      </c>
      <c r="AK527" s="27"/>
    </row>
    <row r="528" spans="1:37" s="26" customFormat="1" ht="15" customHeight="1" x14ac:dyDescent="0.45">
      <c r="A528" s="28" t="s">
        <v>41</v>
      </c>
      <c r="B528" s="8" t="s">
        <v>739</v>
      </c>
      <c r="C528" s="28" t="s">
        <v>43</v>
      </c>
      <c r="D528" s="9"/>
      <c r="E528" s="9"/>
      <c r="F528" s="9">
        <v>43535</v>
      </c>
      <c r="G528" s="10">
        <v>43535</v>
      </c>
      <c r="H528" s="51">
        <v>43535</v>
      </c>
      <c r="I528" s="52"/>
      <c r="J528" s="51">
        <f>F528+14</f>
        <v>43549</v>
      </c>
      <c r="K528" s="51">
        <f>J528+14</f>
        <v>43563</v>
      </c>
      <c r="L528" s="9"/>
      <c r="M528" s="10" t="str">
        <f t="shared" si="89"/>
        <v>Mar-19</v>
      </c>
      <c r="N528" s="10" t="str">
        <f t="shared" si="90"/>
        <v>Apr-19</v>
      </c>
      <c r="O528" s="17" t="s">
        <v>1223</v>
      </c>
      <c r="P528" s="33" t="s">
        <v>739</v>
      </c>
      <c r="Q528" s="45">
        <v>665</v>
      </c>
      <c r="R528" s="45">
        <v>2614.56</v>
      </c>
      <c r="S528" s="45">
        <f t="shared" si="88"/>
        <v>3279.56</v>
      </c>
      <c r="T528" s="146">
        <f t="shared" si="91"/>
        <v>3607.5160000000001</v>
      </c>
      <c r="U528" s="65"/>
      <c r="V528" s="65"/>
      <c r="W528" s="21">
        <f t="shared" si="94"/>
        <v>0</v>
      </c>
      <c r="X528" s="22">
        <f t="shared" si="92"/>
        <v>3279.56</v>
      </c>
      <c r="Y528" s="35">
        <f t="shared" si="93"/>
        <v>1</v>
      </c>
      <c r="Z528" s="20"/>
      <c r="AA528" s="11"/>
      <c r="AB528" s="20"/>
      <c r="AC528" s="24" t="s">
        <v>73</v>
      </c>
      <c r="AD528" s="10" t="s">
        <v>47</v>
      </c>
      <c r="AE528" s="10">
        <v>43432</v>
      </c>
      <c r="AF528" s="63"/>
      <c r="AG528" s="10">
        <v>43510</v>
      </c>
      <c r="AH528" s="25">
        <f t="shared" si="95"/>
        <v>78</v>
      </c>
      <c r="AK528" s="27"/>
    </row>
    <row r="529" spans="1:37" s="26" customFormat="1" ht="15" customHeight="1" x14ac:dyDescent="0.45">
      <c r="A529" s="28" t="s">
        <v>41</v>
      </c>
      <c r="B529" s="8" t="s">
        <v>56</v>
      </c>
      <c r="C529" s="8" t="s">
        <v>57</v>
      </c>
      <c r="D529" s="9"/>
      <c r="E529" s="9"/>
      <c r="F529" s="10"/>
      <c r="G529" s="11">
        <v>43189</v>
      </c>
      <c r="H529" s="51"/>
      <c r="I529" s="52"/>
      <c r="J529" s="51"/>
      <c r="K529" s="51"/>
      <c r="L529" s="9"/>
      <c r="M529" s="10" t="str">
        <f t="shared" si="89"/>
        <v>Mar-18</v>
      </c>
      <c r="N529" s="10" t="str">
        <f t="shared" si="90"/>
        <v>Jan-00</v>
      </c>
      <c r="O529" s="17" t="s">
        <v>1224</v>
      </c>
      <c r="P529" s="33" t="s">
        <v>1225</v>
      </c>
      <c r="Q529" s="45">
        <v>681.82</v>
      </c>
      <c r="R529" s="45"/>
      <c r="S529" s="45">
        <f t="shared" si="88"/>
        <v>681.82</v>
      </c>
      <c r="T529" s="146">
        <f t="shared" si="91"/>
        <v>750.00200000000007</v>
      </c>
      <c r="U529" s="65">
        <v>300</v>
      </c>
      <c r="V529" s="65"/>
      <c r="W529" s="21">
        <f t="shared" si="94"/>
        <v>300</v>
      </c>
      <c r="X529" s="22">
        <f t="shared" si="92"/>
        <v>381.82000000000005</v>
      </c>
      <c r="Y529" s="35">
        <f t="shared" si="93"/>
        <v>0.56000117333020449</v>
      </c>
      <c r="Z529" s="20"/>
      <c r="AA529" s="11"/>
      <c r="AB529" s="20"/>
      <c r="AC529" s="24" t="s">
        <v>73</v>
      </c>
      <c r="AD529" s="10" t="s">
        <v>47</v>
      </c>
      <c r="AE529" s="10">
        <v>43432</v>
      </c>
      <c r="AF529" s="63"/>
      <c r="AG529" s="10">
        <v>43515</v>
      </c>
      <c r="AH529" s="25">
        <f t="shared" si="95"/>
        <v>83</v>
      </c>
      <c r="AK529" s="27"/>
    </row>
    <row r="530" spans="1:37" s="26" customFormat="1" ht="15" customHeight="1" x14ac:dyDescent="0.45">
      <c r="A530" s="28" t="s">
        <v>41</v>
      </c>
      <c r="B530" s="8" t="s">
        <v>100</v>
      </c>
      <c r="C530" s="8" t="s">
        <v>57</v>
      </c>
      <c r="D530" s="9"/>
      <c r="E530" s="9"/>
      <c r="F530" s="10">
        <v>43517</v>
      </c>
      <c r="G530" s="10">
        <v>43517</v>
      </c>
      <c r="H530" s="14">
        <v>43517</v>
      </c>
      <c r="I530" s="54">
        <v>43523</v>
      </c>
      <c r="J530" s="14">
        <f>G530+14</f>
        <v>43531</v>
      </c>
      <c r="K530" s="51">
        <f>J530+14</f>
        <v>43545</v>
      </c>
      <c r="L530" s="9"/>
      <c r="M530" s="10" t="str">
        <f t="shared" si="89"/>
        <v>Feb-19</v>
      </c>
      <c r="N530" s="10" t="str">
        <f t="shared" si="90"/>
        <v>Mar-19</v>
      </c>
      <c r="O530" s="17" t="s">
        <v>1226</v>
      </c>
      <c r="P530" s="33" t="s">
        <v>193</v>
      </c>
      <c r="Q530" s="45">
        <v>3147.58</v>
      </c>
      <c r="R530" s="45">
        <v>1887.34</v>
      </c>
      <c r="S530" s="45">
        <f t="shared" si="88"/>
        <v>5034.92</v>
      </c>
      <c r="T530" s="146">
        <f t="shared" si="91"/>
        <v>5538.4120000000003</v>
      </c>
      <c r="U530" s="65">
        <v>2617.08</v>
      </c>
      <c r="V530" s="65"/>
      <c r="W530" s="21">
        <f t="shared" si="94"/>
        <v>2617.08</v>
      </c>
      <c r="X530" s="22">
        <f t="shared" si="92"/>
        <v>2417.84</v>
      </c>
      <c r="Y530" s="35">
        <f t="shared" si="93"/>
        <v>0.48021418413798039</v>
      </c>
      <c r="Z530" s="20"/>
      <c r="AA530" s="11"/>
      <c r="AB530" s="20"/>
      <c r="AC530" s="24" t="s">
        <v>73</v>
      </c>
      <c r="AD530" s="10" t="s">
        <v>47</v>
      </c>
      <c r="AE530" s="10">
        <v>43432</v>
      </c>
      <c r="AF530" s="63"/>
      <c r="AG530" s="10">
        <v>43480</v>
      </c>
      <c r="AH530" s="25">
        <f t="shared" si="95"/>
        <v>48</v>
      </c>
      <c r="AK530" s="27"/>
    </row>
    <row r="531" spans="1:37" s="26" customFormat="1" ht="15" customHeight="1" x14ac:dyDescent="0.45">
      <c r="A531" s="28" t="s">
        <v>1127</v>
      </c>
      <c r="B531" s="8" t="s">
        <v>35</v>
      </c>
      <c r="C531" s="8" t="s">
        <v>378</v>
      </c>
      <c r="D531" s="9" t="s">
        <v>1227</v>
      </c>
      <c r="E531" s="9">
        <v>43529</v>
      </c>
      <c r="F531" s="10">
        <v>43481</v>
      </c>
      <c r="G531" s="10">
        <v>43481</v>
      </c>
      <c r="H531" s="14">
        <v>43513</v>
      </c>
      <c r="I531" s="54">
        <v>43511</v>
      </c>
      <c r="J531" s="77">
        <v>39844</v>
      </c>
      <c r="K531" s="14">
        <v>43524</v>
      </c>
      <c r="L531" s="9"/>
      <c r="M531" s="10" t="str">
        <f t="shared" si="89"/>
        <v>Jan-19</v>
      </c>
      <c r="N531" s="10" t="str">
        <f t="shared" si="90"/>
        <v>Feb-19</v>
      </c>
      <c r="O531" s="143" t="s">
        <v>1228</v>
      </c>
      <c r="P531" s="144" t="s">
        <v>370</v>
      </c>
      <c r="Q531" s="45">
        <f>71327</f>
        <v>71327</v>
      </c>
      <c r="R531" s="45">
        <v>21052</v>
      </c>
      <c r="S531" s="45">
        <f t="shared" si="88"/>
        <v>92379</v>
      </c>
      <c r="T531" s="146">
        <f t="shared" si="91"/>
        <v>101616.90000000001</v>
      </c>
      <c r="U531" s="65">
        <v>39195</v>
      </c>
      <c r="V531" s="65"/>
      <c r="W531" s="21">
        <f t="shared" si="94"/>
        <v>39195</v>
      </c>
      <c r="X531" s="22">
        <f t="shared" si="92"/>
        <v>53184</v>
      </c>
      <c r="Y531" s="35">
        <f t="shared" si="93"/>
        <v>0.5757152599616796</v>
      </c>
      <c r="Z531" s="20"/>
      <c r="AA531" s="11"/>
      <c r="AB531" s="20"/>
      <c r="AC531" s="24" t="s">
        <v>1130</v>
      </c>
      <c r="AD531" s="10">
        <v>43427</v>
      </c>
      <c r="AE531" s="10">
        <v>43433</v>
      </c>
      <c r="AF531" s="63">
        <f>AE531-AD531</f>
        <v>6</v>
      </c>
      <c r="AG531" s="10">
        <v>43476</v>
      </c>
      <c r="AH531" s="25">
        <f t="shared" si="95"/>
        <v>43</v>
      </c>
      <c r="AK531" s="27"/>
    </row>
    <row r="532" spans="1:37" s="26" customFormat="1" ht="15" customHeight="1" x14ac:dyDescent="0.45">
      <c r="A532" s="28" t="s">
        <v>41</v>
      </c>
      <c r="B532" s="8" t="s">
        <v>42</v>
      </c>
      <c r="C532" s="28" t="s">
        <v>43</v>
      </c>
      <c r="D532" s="9"/>
      <c r="E532" s="9"/>
      <c r="F532" s="10"/>
      <c r="G532" s="11">
        <v>43524</v>
      </c>
      <c r="H532" s="51"/>
      <c r="I532" s="52"/>
      <c r="J532" s="51"/>
      <c r="K532" s="51"/>
      <c r="L532" s="9"/>
      <c r="M532" s="10" t="str">
        <f t="shared" si="89"/>
        <v>Feb-19</v>
      </c>
      <c r="N532" s="10" t="str">
        <f t="shared" si="90"/>
        <v>Jan-00</v>
      </c>
      <c r="O532" s="17" t="s">
        <v>1229</v>
      </c>
      <c r="P532" s="33" t="s">
        <v>81</v>
      </c>
      <c r="Q532" s="45">
        <v>2372.08</v>
      </c>
      <c r="R532" s="45"/>
      <c r="S532" s="45">
        <f t="shared" si="88"/>
        <v>2372.08</v>
      </c>
      <c r="T532" s="146">
        <f t="shared" si="91"/>
        <v>2609.288</v>
      </c>
      <c r="U532" s="65"/>
      <c r="V532" s="65"/>
      <c r="W532" s="21">
        <f t="shared" si="94"/>
        <v>0</v>
      </c>
      <c r="X532" s="22">
        <f t="shared" si="92"/>
        <v>2372.08</v>
      </c>
      <c r="Y532" s="35">
        <f t="shared" si="93"/>
        <v>1</v>
      </c>
      <c r="Z532" s="20"/>
      <c r="AA532" s="11"/>
      <c r="AB532" s="20"/>
      <c r="AC532" s="24" t="s">
        <v>73</v>
      </c>
      <c r="AD532" s="10" t="s">
        <v>47</v>
      </c>
      <c r="AE532" s="10">
        <v>43433</v>
      </c>
      <c r="AF532" s="63"/>
      <c r="AG532" s="10">
        <v>43480</v>
      </c>
      <c r="AH532" s="25">
        <f t="shared" si="95"/>
        <v>47</v>
      </c>
      <c r="AK532" s="27"/>
    </row>
    <row r="533" spans="1:37" s="26" customFormat="1" ht="15" customHeight="1" x14ac:dyDescent="0.45">
      <c r="A533" s="28" t="s">
        <v>41</v>
      </c>
      <c r="B533" s="8" t="s">
        <v>35</v>
      </c>
      <c r="C533" s="8" t="s">
        <v>43</v>
      </c>
      <c r="D533" s="9"/>
      <c r="E533" s="9"/>
      <c r="F533" s="10">
        <v>43489</v>
      </c>
      <c r="G533" s="11">
        <v>43489</v>
      </c>
      <c r="H533" s="15">
        <v>43489</v>
      </c>
      <c r="I533" s="49">
        <v>43542</v>
      </c>
      <c r="J533" s="14">
        <f>G533+14</f>
        <v>43503</v>
      </c>
      <c r="K533" s="15">
        <v>43554</v>
      </c>
      <c r="L533" s="9"/>
      <c r="M533" s="10" t="str">
        <f t="shared" si="89"/>
        <v>Jan-19</v>
      </c>
      <c r="N533" s="10" t="str">
        <f t="shared" si="90"/>
        <v>Mar-19</v>
      </c>
      <c r="O533" s="17" t="s">
        <v>1230</v>
      </c>
      <c r="P533" s="33" t="s">
        <v>1231</v>
      </c>
      <c r="Q533" s="45">
        <v>1737.94</v>
      </c>
      <c r="R533" s="45">
        <v>2937.87</v>
      </c>
      <c r="S533" s="45">
        <f t="shared" si="88"/>
        <v>4675.8099999999995</v>
      </c>
      <c r="T533" s="146">
        <f t="shared" si="91"/>
        <v>5143.3909999999996</v>
      </c>
      <c r="U533" s="65">
        <v>2271.88</v>
      </c>
      <c r="V533" s="65"/>
      <c r="W533" s="21">
        <f t="shared" si="94"/>
        <v>2271.88</v>
      </c>
      <c r="X533" s="22">
        <f t="shared" si="92"/>
        <v>2403.9299999999994</v>
      </c>
      <c r="Y533" s="35">
        <f t="shared" si="93"/>
        <v>0.51412054809754881</v>
      </c>
      <c r="Z533" s="20"/>
      <c r="AA533" s="11"/>
      <c r="AB533" s="20"/>
      <c r="AC533" s="24" t="s">
        <v>73</v>
      </c>
      <c r="AD533" s="10" t="s">
        <v>47</v>
      </c>
      <c r="AE533" s="10">
        <v>43433</v>
      </c>
      <c r="AF533" s="63"/>
      <c r="AG533" s="10">
        <v>43514</v>
      </c>
      <c r="AH533" s="25">
        <f t="shared" si="95"/>
        <v>81</v>
      </c>
      <c r="AK533" s="27"/>
    </row>
    <row r="534" spans="1:37" s="26" customFormat="1" ht="15" customHeight="1" x14ac:dyDescent="0.45">
      <c r="A534" s="28" t="s">
        <v>41</v>
      </c>
      <c r="B534" s="8" t="s">
        <v>146</v>
      </c>
      <c r="C534" s="8" t="s">
        <v>36</v>
      </c>
      <c r="D534" s="9"/>
      <c r="E534" s="9"/>
      <c r="F534" s="10"/>
      <c r="G534" s="11">
        <v>43524</v>
      </c>
      <c r="H534" s="51"/>
      <c r="I534" s="52"/>
      <c r="J534" s="51"/>
      <c r="K534" s="51"/>
      <c r="L534" s="9"/>
      <c r="M534" s="10" t="str">
        <f t="shared" si="89"/>
        <v>Feb-19</v>
      </c>
      <c r="N534" s="10" t="str">
        <f t="shared" si="90"/>
        <v>Jan-00</v>
      </c>
      <c r="O534" s="17" t="s">
        <v>1232</v>
      </c>
      <c r="P534" s="33" t="s">
        <v>1233</v>
      </c>
      <c r="Q534" s="45">
        <v>727.36</v>
      </c>
      <c r="R534" s="45"/>
      <c r="S534" s="45">
        <f t="shared" si="88"/>
        <v>727.36</v>
      </c>
      <c r="T534" s="146">
        <f t="shared" si="91"/>
        <v>800.09600000000012</v>
      </c>
      <c r="U534" s="65">
        <v>300</v>
      </c>
      <c r="V534" s="65"/>
      <c r="W534" s="21">
        <f t="shared" si="94"/>
        <v>300</v>
      </c>
      <c r="X534" s="22">
        <f t="shared" si="92"/>
        <v>427.36</v>
      </c>
      <c r="Y534" s="35">
        <f t="shared" si="93"/>
        <v>0.58754949406071277</v>
      </c>
      <c r="Z534" s="20"/>
      <c r="AA534" s="11"/>
      <c r="AB534" s="20"/>
      <c r="AC534" s="24" t="s">
        <v>73</v>
      </c>
      <c r="AD534" s="10" t="s">
        <v>47</v>
      </c>
      <c r="AE534" s="10">
        <v>43433</v>
      </c>
      <c r="AF534" s="63"/>
      <c r="AG534" s="10">
        <v>43514</v>
      </c>
      <c r="AH534" s="25">
        <f t="shared" si="95"/>
        <v>81</v>
      </c>
      <c r="AK534" s="27"/>
    </row>
    <row r="535" spans="1:37" s="26" customFormat="1" ht="15" customHeight="1" x14ac:dyDescent="0.45">
      <c r="A535" s="28" t="s">
        <v>41</v>
      </c>
      <c r="B535" s="8" t="s">
        <v>42</v>
      </c>
      <c r="C535" s="28" t="s">
        <v>43</v>
      </c>
      <c r="D535" s="9"/>
      <c r="E535" s="9"/>
      <c r="F535" s="10"/>
      <c r="G535" s="11">
        <v>43524</v>
      </c>
      <c r="H535" s="51"/>
      <c r="I535" s="52"/>
      <c r="J535" s="51"/>
      <c r="K535" s="51"/>
      <c r="L535" s="9"/>
      <c r="M535" s="10" t="str">
        <f t="shared" si="89"/>
        <v>Feb-19</v>
      </c>
      <c r="N535" s="10" t="str">
        <f t="shared" si="90"/>
        <v>Jan-00</v>
      </c>
      <c r="O535" s="17" t="s">
        <v>1234</v>
      </c>
      <c r="P535" s="33" t="s">
        <v>1176</v>
      </c>
      <c r="Q535" s="45">
        <v>664.04</v>
      </c>
      <c r="R535" s="45"/>
      <c r="S535" s="45">
        <f t="shared" si="88"/>
        <v>664.04</v>
      </c>
      <c r="T535" s="146">
        <f t="shared" si="91"/>
        <v>730.44400000000007</v>
      </c>
      <c r="U535" s="65"/>
      <c r="V535" s="65"/>
      <c r="W535" s="21">
        <f t="shared" si="94"/>
        <v>0</v>
      </c>
      <c r="X535" s="22">
        <f t="shared" si="92"/>
        <v>664.04</v>
      </c>
      <c r="Y535" s="35">
        <f t="shared" si="93"/>
        <v>1</v>
      </c>
      <c r="Z535" s="20"/>
      <c r="AA535" s="11"/>
      <c r="AB535" s="20"/>
      <c r="AC535" s="24" t="s">
        <v>73</v>
      </c>
      <c r="AD535" s="10" t="s">
        <v>47</v>
      </c>
      <c r="AE535" s="10">
        <v>43437</v>
      </c>
      <c r="AF535" s="63"/>
      <c r="AG535" s="10">
        <v>43515</v>
      </c>
      <c r="AH535" s="25">
        <f t="shared" si="95"/>
        <v>78</v>
      </c>
      <c r="AK535" s="27"/>
    </row>
    <row r="536" spans="1:37" s="26" customFormat="1" ht="15" customHeight="1" x14ac:dyDescent="0.45">
      <c r="A536" s="28" t="s">
        <v>41</v>
      </c>
      <c r="B536" s="8" t="s">
        <v>56</v>
      </c>
      <c r="C536" s="8" t="s">
        <v>57</v>
      </c>
      <c r="D536" s="9"/>
      <c r="E536" s="9"/>
      <c r="F536" s="10"/>
      <c r="G536" s="11">
        <v>43524</v>
      </c>
      <c r="H536" s="51"/>
      <c r="I536" s="52"/>
      <c r="J536" s="51"/>
      <c r="K536" s="51"/>
      <c r="L536" s="9"/>
      <c r="M536" s="10" t="str">
        <f t="shared" si="89"/>
        <v>Feb-19</v>
      </c>
      <c r="N536" s="10" t="str">
        <f t="shared" si="90"/>
        <v>Jan-00</v>
      </c>
      <c r="O536" s="17" t="s">
        <v>1235</v>
      </c>
      <c r="P536" s="33" t="s">
        <v>468</v>
      </c>
      <c r="Q536" s="45">
        <v>1434.48</v>
      </c>
      <c r="R536" s="45"/>
      <c r="S536" s="45">
        <f t="shared" si="88"/>
        <v>1434.48</v>
      </c>
      <c r="T536" s="146">
        <f t="shared" si="91"/>
        <v>1577.9280000000001</v>
      </c>
      <c r="U536" s="65">
        <v>1650.08</v>
      </c>
      <c r="V536" s="65"/>
      <c r="W536" s="78">
        <f t="shared" si="94"/>
        <v>1650.08</v>
      </c>
      <c r="X536" s="79">
        <f t="shared" si="92"/>
        <v>-215.59999999999991</v>
      </c>
      <c r="Y536" s="80">
        <f t="shared" si="93"/>
        <v>-0.15029836595839602</v>
      </c>
      <c r="Z536" s="20"/>
      <c r="AA536" s="11"/>
      <c r="AB536" s="20"/>
      <c r="AC536" s="24" t="s">
        <v>73</v>
      </c>
      <c r="AD536" s="10" t="s">
        <v>47</v>
      </c>
      <c r="AE536" s="10">
        <v>43437</v>
      </c>
      <c r="AF536" s="63"/>
      <c r="AG536" s="10">
        <v>43515</v>
      </c>
      <c r="AH536" s="25">
        <f t="shared" si="95"/>
        <v>78</v>
      </c>
      <c r="AK536" s="27"/>
    </row>
    <row r="537" spans="1:37" s="26" customFormat="1" ht="15" customHeight="1" x14ac:dyDescent="0.45">
      <c r="A537" s="28" t="s">
        <v>41</v>
      </c>
      <c r="B537" s="8" t="s">
        <v>56</v>
      </c>
      <c r="C537" s="8" t="s">
        <v>57</v>
      </c>
      <c r="D537" s="9"/>
      <c r="E537" s="9"/>
      <c r="F537" s="10">
        <v>43510</v>
      </c>
      <c r="G537" s="10">
        <v>43510</v>
      </c>
      <c r="H537" s="10">
        <v>43510</v>
      </c>
      <c r="I537" s="52"/>
      <c r="J537" s="14">
        <f>H537+14</f>
        <v>43524</v>
      </c>
      <c r="K537" s="51">
        <f>J537+14</f>
        <v>43538</v>
      </c>
      <c r="L537" s="9"/>
      <c r="M537" s="10" t="str">
        <f t="shared" si="89"/>
        <v>Feb-19</v>
      </c>
      <c r="N537" s="10" t="str">
        <f t="shared" si="90"/>
        <v>Mar-19</v>
      </c>
      <c r="O537" s="17" t="s">
        <v>1236</v>
      </c>
      <c r="P537" s="33" t="s">
        <v>1203</v>
      </c>
      <c r="Q537" s="45">
        <v>5140.9799999999996</v>
      </c>
      <c r="R537" s="45">
        <v>581.85000000000059</v>
      </c>
      <c r="S537" s="45">
        <f t="shared" si="88"/>
        <v>5722.83</v>
      </c>
      <c r="T537" s="146">
        <f t="shared" si="91"/>
        <v>6295.1130000000003</v>
      </c>
      <c r="U537" s="65">
        <v>3773.2599999999998</v>
      </c>
      <c r="V537" s="65"/>
      <c r="W537" s="21">
        <f t="shared" si="94"/>
        <v>3773.2599999999998</v>
      </c>
      <c r="X537" s="22">
        <f t="shared" si="92"/>
        <v>1949.5700000000002</v>
      </c>
      <c r="Y537" s="35">
        <f t="shared" si="93"/>
        <v>0.34066537010535003</v>
      </c>
      <c r="Z537" s="20"/>
      <c r="AA537" s="11"/>
      <c r="AB537" s="20"/>
      <c r="AC537" s="24" t="s">
        <v>73</v>
      </c>
      <c r="AD537" s="10" t="s">
        <v>47</v>
      </c>
      <c r="AE537" s="10">
        <v>43437</v>
      </c>
      <c r="AF537" s="63"/>
      <c r="AG537" s="10">
        <v>43515</v>
      </c>
      <c r="AH537" s="25">
        <f t="shared" si="95"/>
        <v>78</v>
      </c>
      <c r="AK537" s="27"/>
    </row>
    <row r="538" spans="1:37" s="26" customFormat="1" ht="15" customHeight="1" x14ac:dyDescent="0.45">
      <c r="A538" s="28" t="s">
        <v>41</v>
      </c>
      <c r="B538" s="8" t="s">
        <v>146</v>
      </c>
      <c r="C538" s="8" t="s">
        <v>36</v>
      </c>
      <c r="D538" s="9"/>
      <c r="E538" s="9"/>
      <c r="F538" s="10"/>
      <c r="G538" s="11">
        <v>43524</v>
      </c>
      <c r="H538" s="51"/>
      <c r="I538" s="52"/>
      <c r="J538" s="51"/>
      <c r="K538" s="51"/>
      <c r="L538" s="9"/>
      <c r="M538" s="10" t="str">
        <f t="shared" si="89"/>
        <v>Feb-19</v>
      </c>
      <c r="N538" s="10" t="str">
        <f t="shared" si="90"/>
        <v>Jan-00</v>
      </c>
      <c r="O538" s="17" t="s">
        <v>1237</v>
      </c>
      <c r="P538" s="33" t="s">
        <v>461</v>
      </c>
      <c r="Q538" s="45">
        <v>969.02</v>
      </c>
      <c r="R538" s="45"/>
      <c r="S538" s="45">
        <f t="shared" si="88"/>
        <v>969.02</v>
      </c>
      <c r="T538" s="146">
        <f t="shared" si="91"/>
        <v>1065.922</v>
      </c>
      <c r="U538" s="65"/>
      <c r="V538" s="65"/>
      <c r="W538" s="21">
        <f t="shared" si="94"/>
        <v>0</v>
      </c>
      <c r="X538" s="22">
        <f t="shared" si="92"/>
        <v>969.02</v>
      </c>
      <c r="Y538" s="35">
        <f t="shared" si="93"/>
        <v>1</v>
      </c>
      <c r="Z538" s="20"/>
      <c r="AA538" s="11"/>
      <c r="AB538" s="20"/>
      <c r="AC538" s="24" t="s">
        <v>73</v>
      </c>
      <c r="AD538" s="10" t="s">
        <v>47</v>
      </c>
      <c r="AE538" s="10">
        <v>43437</v>
      </c>
      <c r="AF538" s="63"/>
      <c r="AG538" s="10">
        <v>43515</v>
      </c>
      <c r="AH538" s="25">
        <f t="shared" si="95"/>
        <v>78</v>
      </c>
      <c r="AK538" s="27"/>
    </row>
    <row r="539" spans="1:37" s="26" customFormat="1" ht="15" customHeight="1" x14ac:dyDescent="0.45">
      <c r="A539" s="28" t="s">
        <v>41</v>
      </c>
      <c r="B539" s="8" t="s">
        <v>146</v>
      </c>
      <c r="C539" s="8" t="s">
        <v>36</v>
      </c>
      <c r="D539" s="9"/>
      <c r="E539" s="9"/>
      <c r="F539" s="10"/>
      <c r="G539" s="11">
        <v>43524</v>
      </c>
      <c r="H539" s="51"/>
      <c r="I539" s="52"/>
      <c r="J539" s="51"/>
      <c r="K539" s="51"/>
      <c r="L539" s="9"/>
      <c r="M539" s="10" t="str">
        <f t="shared" si="89"/>
        <v>Feb-19</v>
      </c>
      <c r="N539" s="10" t="str">
        <f t="shared" si="90"/>
        <v>Jan-00</v>
      </c>
      <c r="O539" s="17" t="s">
        <v>1238</v>
      </c>
      <c r="P539" s="33" t="s">
        <v>1239</v>
      </c>
      <c r="Q539" s="45">
        <v>808.49</v>
      </c>
      <c r="R539" s="45"/>
      <c r="S539" s="45">
        <f t="shared" si="88"/>
        <v>808.49</v>
      </c>
      <c r="T539" s="146">
        <f t="shared" si="91"/>
        <v>889.33900000000006</v>
      </c>
      <c r="U539" s="65"/>
      <c r="V539" s="65"/>
      <c r="W539" s="21">
        <f t="shared" si="94"/>
        <v>0</v>
      </c>
      <c r="X539" s="22">
        <f t="shared" si="92"/>
        <v>808.49</v>
      </c>
      <c r="Y539" s="35">
        <f t="shared" si="93"/>
        <v>1</v>
      </c>
      <c r="Z539" s="20"/>
      <c r="AA539" s="11"/>
      <c r="AB539" s="20"/>
      <c r="AC539" s="24" t="s">
        <v>73</v>
      </c>
      <c r="AD539" s="10" t="s">
        <v>47</v>
      </c>
      <c r="AE539" s="10">
        <v>43437</v>
      </c>
      <c r="AF539" s="63"/>
      <c r="AG539" s="10">
        <v>43515</v>
      </c>
      <c r="AH539" s="25">
        <f t="shared" si="95"/>
        <v>78</v>
      </c>
      <c r="AK539" s="27"/>
    </row>
    <row r="540" spans="1:37" s="26" customFormat="1" ht="15" customHeight="1" x14ac:dyDescent="0.45">
      <c r="A540" s="28" t="s">
        <v>41</v>
      </c>
      <c r="B540" s="8" t="s">
        <v>146</v>
      </c>
      <c r="C540" s="8" t="s">
        <v>36</v>
      </c>
      <c r="D540" s="9"/>
      <c r="E540" s="9"/>
      <c r="F540" s="10"/>
      <c r="G540" s="11">
        <v>43524</v>
      </c>
      <c r="H540" s="51"/>
      <c r="I540" s="52"/>
      <c r="J540" s="51"/>
      <c r="K540" s="51"/>
      <c r="L540" s="9"/>
      <c r="M540" s="10" t="str">
        <f t="shared" si="89"/>
        <v>Feb-19</v>
      </c>
      <c r="N540" s="10" t="str">
        <f t="shared" si="90"/>
        <v>Jan-00</v>
      </c>
      <c r="O540" s="17" t="s">
        <v>1240</v>
      </c>
      <c r="P540" s="33" t="s">
        <v>1241</v>
      </c>
      <c r="Q540" s="45">
        <v>2812.91</v>
      </c>
      <c r="R540" s="45"/>
      <c r="S540" s="45">
        <f t="shared" si="88"/>
        <v>2812.91</v>
      </c>
      <c r="T540" s="146">
        <f t="shared" si="91"/>
        <v>3094.201</v>
      </c>
      <c r="U540" s="65"/>
      <c r="V540" s="65"/>
      <c r="W540" s="21">
        <f t="shared" si="94"/>
        <v>0</v>
      </c>
      <c r="X540" s="22">
        <f t="shared" si="92"/>
        <v>2812.91</v>
      </c>
      <c r="Y540" s="35">
        <f t="shared" si="93"/>
        <v>1</v>
      </c>
      <c r="Z540" s="20"/>
      <c r="AA540" s="11"/>
      <c r="AB540" s="20"/>
      <c r="AC540" s="24" t="s">
        <v>73</v>
      </c>
      <c r="AD540" s="10" t="s">
        <v>47</v>
      </c>
      <c r="AE540" s="10">
        <v>43438</v>
      </c>
      <c r="AF540" s="63"/>
      <c r="AG540" s="10">
        <v>43515</v>
      </c>
      <c r="AH540" s="25">
        <f t="shared" si="95"/>
        <v>77</v>
      </c>
      <c r="AK540" s="27"/>
    </row>
    <row r="541" spans="1:37" s="26" customFormat="1" ht="15" customHeight="1" x14ac:dyDescent="0.45">
      <c r="A541" s="8" t="s">
        <v>774</v>
      </c>
      <c r="B541" s="8" t="s">
        <v>56</v>
      </c>
      <c r="C541" s="8" t="s">
        <v>36</v>
      </c>
      <c r="D541" s="9"/>
      <c r="E541" s="9"/>
      <c r="F541" s="10"/>
      <c r="G541" s="11">
        <v>43524</v>
      </c>
      <c r="H541" s="51"/>
      <c r="I541" s="52"/>
      <c r="J541" s="51"/>
      <c r="K541" s="51"/>
      <c r="L541" s="9"/>
      <c r="M541" s="10" t="str">
        <f t="shared" si="89"/>
        <v>Feb-19</v>
      </c>
      <c r="N541" s="10" t="str">
        <f t="shared" si="90"/>
        <v>Jan-00</v>
      </c>
      <c r="O541" s="113" t="s">
        <v>1242</v>
      </c>
      <c r="P541" s="114" t="s">
        <v>1243</v>
      </c>
      <c r="Q541" s="45">
        <f>47679.95-Q542</f>
        <v>33375.964999999997</v>
      </c>
      <c r="R541" s="45"/>
      <c r="S541" s="45">
        <f t="shared" si="88"/>
        <v>33375.964999999997</v>
      </c>
      <c r="T541" s="146">
        <f t="shared" si="91"/>
        <v>36713.561499999996</v>
      </c>
      <c r="U541" s="65">
        <v>25056.880000000001</v>
      </c>
      <c r="V541" s="65"/>
      <c r="W541" s="21">
        <f t="shared" si="94"/>
        <v>25056.880000000001</v>
      </c>
      <c r="X541" s="22">
        <f t="shared" si="92"/>
        <v>8319.0849999999955</v>
      </c>
      <c r="Y541" s="35">
        <f t="shared" si="93"/>
        <v>0.24925376689482975</v>
      </c>
      <c r="Z541" s="20"/>
      <c r="AA541" s="11"/>
      <c r="AB541" s="20"/>
      <c r="AC541" s="24" t="s">
        <v>69</v>
      </c>
      <c r="AD541" s="10" t="s">
        <v>47</v>
      </c>
      <c r="AE541" s="10">
        <v>43438</v>
      </c>
      <c r="AF541" s="63"/>
      <c r="AG541" s="10">
        <v>43496</v>
      </c>
      <c r="AH541" s="25">
        <f t="shared" si="95"/>
        <v>58</v>
      </c>
      <c r="AK541" s="27"/>
    </row>
    <row r="542" spans="1:37" s="26" customFormat="1" ht="15" customHeight="1" x14ac:dyDescent="0.45">
      <c r="A542" s="8" t="s">
        <v>546</v>
      </c>
      <c r="B542" s="8" t="s">
        <v>35</v>
      </c>
      <c r="C542" s="8" t="s">
        <v>51</v>
      </c>
      <c r="D542" s="9" t="s">
        <v>1244</v>
      </c>
      <c r="E542" s="9">
        <v>43439</v>
      </c>
      <c r="F542" s="10">
        <v>43439</v>
      </c>
      <c r="G542" s="11">
        <v>43439</v>
      </c>
      <c r="H542" s="67"/>
      <c r="I542" s="68"/>
      <c r="J542" s="67"/>
      <c r="K542" s="14">
        <v>43445</v>
      </c>
      <c r="L542" s="9"/>
      <c r="M542" s="10" t="str">
        <f t="shared" si="89"/>
        <v>Dec-18</v>
      </c>
      <c r="N542" s="10" t="str">
        <f t="shared" si="90"/>
        <v>Dec-18</v>
      </c>
      <c r="O542" s="113" t="s">
        <v>1242</v>
      </c>
      <c r="P542" s="114" t="s">
        <v>1243</v>
      </c>
      <c r="Q542" s="45">
        <f>47679.95*0.3</f>
        <v>14303.984999999999</v>
      </c>
      <c r="R542" s="73"/>
      <c r="S542" s="45">
        <f t="shared" ref="S542:S572" si="97">SUM(Q542:R542)</f>
        <v>14303.984999999999</v>
      </c>
      <c r="T542" s="64">
        <f t="shared" si="91"/>
        <v>15734.3835</v>
      </c>
      <c r="U542" s="100"/>
      <c r="V542" s="100"/>
      <c r="W542" s="21">
        <f t="shared" si="94"/>
        <v>0</v>
      </c>
      <c r="X542" s="22">
        <f t="shared" si="92"/>
        <v>14303.984999999999</v>
      </c>
      <c r="Y542" s="35">
        <f t="shared" si="93"/>
        <v>1</v>
      </c>
      <c r="Z542" s="20"/>
      <c r="AA542" s="11"/>
      <c r="AB542" s="20"/>
      <c r="AC542" s="24" t="s">
        <v>69</v>
      </c>
      <c r="AD542" s="10" t="s">
        <v>47</v>
      </c>
      <c r="AE542" s="10">
        <v>43438</v>
      </c>
      <c r="AF542" s="63"/>
      <c r="AG542" s="10">
        <v>43496</v>
      </c>
      <c r="AH542" s="25">
        <f t="shared" si="95"/>
        <v>58</v>
      </c>
      <c r="AK542" s="27"/>
    </row>
    <row r="543" spans="1:37" s="26" customFormat="1" ht="15" customHeight="1" x14ac:dyDescent="0.45">
      <c r="A543" s="28" t="s">
        <v>41</v>
      </c>
      <c r="B543" s="8" t="s">
        <v>65</v>
      </c>
      <c r="C543" s="8" t="s">
        <v>57</v>
      </c>
      <c r="D543" s="9"/>
      <c r="E543" s="9"/>
      <c r="F543" s="10"/>
      <c r="G543" s="11">
        <v>43524</v>
      </c>
      <c r="H543" s="51"/>
      <c r="I543" s="52"/>
      <c r="J543" s="51"/>
      <c r="K543" s="51"/>
      <c r="L543" s="9"/>
      <c r="M543" s="10" t="str">
        <f t="shared" si="89"/>
        <v>Feb-19</v>
      </c>
      <c r="N543" s="10" t="str">
        <f t="shared" si="90"/>
        <v>Jan-00</v>
      </c>
      <c r="O543" s="17" t="s">
        <v>1245</v>
      </c>
      <c r="P543" s="33" t="s">
        <v>178</v>
      </c>
      <c r="Q543" s="45">
        <v>193.64</v>
      </c>
      <c r="R543" s="45"/>
      <c r="S543" s="45">
        <f t="shared" si="97"/>
        <v>193.64</v>
      </c>
      <c r="T543" s="64">
        <f t="shared" si="91"/>
        <v>213.00399999999999</v>
      </c>
      <c r="U543" s="65"/>
      <c r="V543" s="65"/>
      <c r="W543" s="21">
        <f t="shared" si="94"/>
        <v>0</v>
      </c>
      <c r="X543" s="22">
        <f t="shared" si="92"/>
        <v>193.64</v>
      </c>
      <c r="Y543" s="35">
        <f t="shared" si="93"/>
        <v>1</v>
      </c>
      <c r="Z543" s="20"/>
      <c r="AA543" s="11"/>
      <c r="AB543" s="20"/>
      <c r="AC543" s="24" t="s">
        <v>73</v>
      </c>
      <c r="AD543" s="10" t="s">
        <v>47</v>
      </c>
      <c r="AE543" s="10">
        <v>43444</v>
      </c>
      <c r="AF543" s="63"/>
      <c r="AG543" s="10">
        <v>43497</v>
      </c>
      <c r="AH543" s="25">
        <f t="shared" si="95"/>
        <v>53</v>
      </c>
      <c r="AK543" s="27"/>
    </row>
    <row r="544" spans="1:37" s="26" customFormat="1" ht="15" customHeight="1" x14ac:dyDescent="0.45">
      <c r="A544" s="28" t="s">
        <v>41</v>
      </c>
      <c r="B544" s="8" t="s">
        <v>56</v>
      </c>
      <c r="C544" s="8" t="s">
        <v>57</v>
      </c>
      <c r="D544" s="9"/>
      <c r="E544" s="9"/>
      <c r="F544" s="10"/>
      <c r="G544" s="11">
        <v>43554</v>
      </c>
      <c r="H544" s="51"/>
      <c r="I544" s="52"/>
      <c r="J544" s="51"/>
      <c r="K544" s="51"/>
      <c r="L544" s="9"/>
      <c r="M544" s="10" t="str">
        <f t="shared" si="89"/>
        <v>Mar-19</v>
      </c>
      <c r="N544" s="10" t="str">
        <f t="shared" si="90"/>
        <v>Jan-00</v>
      </c>
      <c r="O544" s="17" t="s">
        <v>1246</v>
      </c>
      <c r="P544" s="33" t="s">
        <v>370</v>
      </c>
      <c r="Q544" s="45">
        <v>1105.8800000000001</v>
      </c>
      <c r="R544" s="45"/>
      <c r="S544" s="45">
        <f t="shared" si="97"/>
        <v>1105.8800000000001</v>
      </c>
      <c r="T544" s="64">
        <f t="shared" si="91"/>
        <v>1216.4680000000003</v>
      </c>
      <c r="U544" s="65"/>
      <c r="V544" s="65"/>
      <c r="W544" s="21">
        <f t="shared" si="94"/>
        <v>0</v>
      </c>
      <c r="X544" s="22">
        <f t="shared" si="92"/>
        <v>1105.8800000000001</v>
      </c>
      <c r="Y544" s="35">
        <f t="shared" si="93"/>
        <v>1</v>
      </c>
      <c r="Z544" s="20"/>
      <c r="AA544" s="11"/>
      <c r="AB544" s="20"/>
      <c r="AC544" s="24" t="s">
        <v>73</v>
      </c>
      <c r="AD544" s="10" t="s">
        <v>47</v>
      </c>
      <c r="AE544" s="10">
        <v>43444</v>
      </c>
      <c r="AF544" s="63"/>
      <c r="AG544" s="10">
        <v>43523</v>
      </c>
      <c r="AH544" s="25">
        <f t="shared" si="95"/>
        <v>79</v>
      </c>
      <c r="AK544" s="27"/>
    </row>
    <row r="545" spans="1:37" s="26" customFormat="1" ht="15" customHeight="1" x14ac:dyDescent="0.45">
      <c r="A545" s="8" t="s">
        <v>774</v>
      </c>
      <c r="B545" s="8" t="s">
        <v>373</v>
      </c>
      <c r="C545" s="8" t="s">
        <v>36</v>
      </c>
      <c r="D545" s="9"/>
      <c r="E545" s="9"/>
      <c r="F545" s="10"/>
      <c r="G545" s="11">
        <v>43554</v>
      </c>
      <c r="H545" s="51"/>
      <c r="I545" s="52"/>
      <c r="J545" s="51"/>
      <c r="K545" s="51"/>
      <c r="L545" s="9"/>
      <c r="M545" s="10" t="str">
        <f t="shared" si="89"/>
        <v>Mar-19</v>
      </c>
      <c r="N545" s="10" t="str">
        <f t="shared" si="90"/>
        <v>Jan-00</v>
      </c>
      <c r="O545" s="113" t="s">
        <v>1247</v>
      </c>
      <c r="P545" s="114" t="s">
        <v>1248</v>
      </c>
      <c r="Q545" s="45">
        <f>35277.23-Q546</f>
        <v>24694.061000000002</v>
      </c>
      <c r="R545" s="45"/>
      <c r="S545" s="45">
        <f t="shared" si="97"/>
        <v>24694.061000000002</v>
      </c>
      <c r="T545" s="64">
        <f t="shared" si="91"/>
        <v>27163.467100000005</v>
      </c>
      <c r="U545" s="65">
        <v>20557.64</v>
      </c>
      <c r="V545" s="65"/>
      <c r="W545" s="21">
        <f t="shared" si="94"/>
        <v>20557.64</v>
      </c>
      <c r="X545" s="79">
        <f t="shared" si="92"/>
        <v>4136.4210000000021</v>
      </c>
      <c r="Y545" s="80">
        <f t="shared" si="93"/>
        <v>0.16750671345632465</v>
      </c>
      <c r="Z545" s="20"/>
      <c r="AA545" s="11"/>
      <c r="AB545" s="20"/>
      <c r="AC545" s="24" t="s">
        <v>69</v>
      </c>
      <c r="AD545" s="10" t="s">
        <v>47</v>
      </c>
      <c r="AE545" s="10">
        <v>43444</v>
      </c>
      <c r="AF545" s="63"/>
      <c r="AG545" s="10">
        <v>43523</v>
      </c>
      <c r="AH545" s="25">
        <f t="shared" si="95"/>
        <v>79</v>
      </c>
      <c r="AK545" s="27"/>
    </row>
    <row r="546" spans="1:37" s="26" customFormat="1" ht="15" customHeight="1" x14ac:dyDescent="0.45">
      <c r="A546" s="8" t="s">
        <v>546</v>
      </c>
      <c r="B546" s="8" t="s">
        <v>35</v>
      </c>
      <c r="C546" s="8" t="s">
        <v>51</v>
      </c>
      <c r="D546" s="9" t="s">
        <v>1249</v>
      </c>
      <c r="E546" s="9">
        <v>43454</v>
      </c>
      <c r="F546" s="10">
        <v>43445</v>
      </c>
      <c r="G546" s="11">
        <v>43445</v>
      </c>
      <c r="H546" s="67"/>
      <c r="I546" s="68"/>
      <c r="J546" s="67"/>
      <c r="K546" s="14">
        <v>43452</v>
      </c>
      <c r="L546" s="9"/>
      <c r="M546" s="10" t="str">
        <f t="shared" si="89"/>
        <v>Dec-18</v>
      </c>
      <c r="N546" s="10" t="str">
        <f t="shared" si="90"/>
        <v>Dec-18</v>
      </c>
      <c r="O546" s="113" t="s">
        <v>1247</v>
      </c>
      <c r="P546" s="114" t="s">
        <v>1248</v>
      </c>
      <c r="Q546" s="45">
        <f>35277.23*0.3</f>
        <v>10583.169</v>
      </c>
      <c r="R546" s="73"/>
      <c r="S546" s="45">
        <f t="shared" si="97"/>
        <v>10583.169</v>
      </c>
      <c r="T546" s="64">
        <f t="shared" si="91"/>
        <v>11641.485900000001</v>
      </c>
      <c r="U546" s="100"/>
      <c r="V546" s="100"/>
      <c r="W546" s="21">
        <f t="shared" si="94"/>
        <v>0</v>
      </c>
      <c r="X546" s="22">
        <f t="shared" si="92"/>
        <v>10583.169</v>
      </c>
      <c r="Y546" s="35">
        <f t="shared" si="93"/>
        <v>1</v>
      </c>
      <c r="Z546" s="20"/>
      <c r="AA546" s="11"/>
      <c r="AB546" s="20"/>
      <c r="AC546" s="24" t="s">
        <v>69</v>
      </c>
      <c r="AD546" s="10" t="s">
        <v>47</v>
      </c>
      <c r="AE546" s="10">
        <v>43444</v>
      </c>
      <c r="AF546" s="63"/>
      <c r="AG546" s="10">
        <v>43523</v>
      </c>
      <c r="AH546" s="25">
        <f t="shared" si="95"/>
        <v>79</v>
      </c>
      <c r="AK546" s="27"/>
    </row>
    <row r="547" spans="1:37" s="26" customFormat="1" ht="15" customHeight="1" x14ac:dyDescent="0.45">
      <c r="A547" s="28" t="s">
        <v>41</v>
      </c>
      <c r="B547" s="8" t="s">
        <v>56</v>
      </c>
      <c r="C547" s="8" t="s">
        <v>57</v>
      </c>
      <c r="D547" s="9"/>
      <c r="E547" s="9"/>
      <c r="F547" s="10">
        <v>43514</v>
      </c>
      <c r="G547" s="10">
        <v>43516</v>
      </c>
      <c r="H547" s="67"/>
      <c r="I547" s="68"/>
      <c r="J547" s="14">
        <f>G547+14</f>
        <v>43530</v>
      </c>
      <c r="K547" s="51">
        <f>J547+14</f>
        <v>43544</v>
      </c>
      <c r="L547" s="9"/>
      <c r="M547" s="10" t="str">
        <f t="shared" si="89"/>
        <v>Feb-19</v>
      </c>
      <c r="N547" s="10" t="str">
        <f t="shared" si="90"/>
        <v>Mar-19</v>
      </c>
      <c r="O547" s="17" t="s">
        <v>1250</v>
      </c>
      <c r="P547" s="33" t="s">
        <v>1243</v>
      </c>
      <c r="Q547" s="45">
        <v>1428</v>
      </c>
      <c r="R547" s="73"/>
      <c r="S547" s="45">
        <f t="shared" si="97"/>
        <v>1428</v>
      </c>
      <c r="T547" s="146">
        <f t="shared" si="91"/>
        <v>1570.8000000000002</v>
      </c>
      <c r="U547" s="65"/>
      <c r="V547" s="65"/>
      <c r="W547" s="21">
        <f t="shared" si="94"/>
        <v>0</v>
      </c>
      <c r="X547" s="22">
        <f t="shared" si="92"/>
        <v>1428</v>
      </c>
      <c r="Y547" s="35">
        <f t="shared" si="93"/>
        <v>1</v>
      </c>
      <c r="Z547" s="20"/>
      <c r="AA547" s="11"/>
      <c r="AB547" s="20"/>
      <c r="AC547" s="24" t="s">
        <v>73</v>
      </c>
      <c r="AD547" s="10" t="s">
        <v>47</v>
      </c>
      <c r="AE547" s="10">
        <v>43444</v>
      </c>
      <c r="AF547" s="63"/>
      <c r="AG547" s="10">
        <v>43515</v>
      </c>
      <c r="AH547" s="25">
        <f t="shared" si="95"/>
        <v>71</v>
      </c>
      <c r="AK547" s="27"/>
    </row>
    <row r="548" spans="1:37" s="26" customFormat="1" ht="15" customHeight="1" x14ac:dyDescent="0.45">
      <c r="A548" s="28" t="s">
        <v>41</v>
      </c>
      <c r="B548" s="8" t="s">
        <v>42</v>
      </c>
      <c r="C548" s="28" t="s">
        <v>43</v>
      </c>
      <c r="D548" s="9"/>
      <c r="E548" s="9"/>
      <c r="F548" s="10"/>
      <c r="G548" s="11">
        <v>43554</v>
      </c>
      <c r="H548" s="51"/>
      <c r="I548" s="52"/>
      <c r="J548" s="51"/>
      <c r="K548" s="51"/>
      <c r="L548" s="9"/>
      <c r="M548" s="10" t="str">
        <f t="shared" si="89"/>
        <v>Mar-19</v>
      </c>
      <c r="N548" s="10" t="str">
        <f t="shared" si="90"/>
        <v>Jan-00</v>
      </c>
      <c r="O548" s="17" t="s">
        <v>1251</v>
      </c>
      <c r="P548" s="33" t="s">
        <v>1252</v>
      </c>
      <c r="Q548" s="45">
        <v>675.26</v>
      </c>
      <c r="R548" s="45"/>
      <c r="S548" s="45">
        <f t="shared" si="97"/>
        <v>675.26</v>
      </c>
      <c r="T548" s="146">
        <f t="shared" si="91"/>
        <v>742.78600000000006</v>
      </c>
      <c r="U548" s="65">
        <f>1734.82+300</f>
        <v>2034.82</v>
      </c>
      <c r="V548" s="65"/>
      <c r="W548" s="78">
        <f t="shared" si="94"/>
        <v>2034.82</v>
      </c>
      <c r="X548" s="79">
        <f t="shared" si="92"/>
        <v>-1359.56</v>
      </c>
      <c r="Y548" s="80">
        <f t="shared" si="93"/>
        <v>-2.0133874359505968</v>
      </c>
      <c r="Z548" s="20"/>
      <c r="AA548" s="11"/>
      <c r="AB548" s="20"/>
      <c r="AC548" s="24" t="s">
        <v>73</v>
      </c>
      <c r="AD548" s="10" t="s">
        <v>47</v>
      </c>
      <c r="AE548" s="10">
        <v>43444</v>
      </c>
      <c r="AF548" s="63"/>
      <c r="AG548" s="10">
        <v>43523</v>
      </c>
      <c r="AH548" s="25">
        <f t="shared" si="95"/>
        <v>79</v>
      </c>
      <c r="AK548" s="27"/>
    </row>
    <row r="549" spans="1:37" s="26" customFormat="1" ht="15" customHeight="1" x14ac:dyDescent="0.45">
      <c r="A549" s="28" t="s">
        <v>41</v>
      </c>
      <c r="B549" s="8" t="s">
        <v>297</v>
      </c>
      <c r="C549" s="28" t="s">
        <v>43</v>
      </c>
      <c r="D549" s="9"/>
      <c r="E549" s="9"/>
      <c r="F549" s="10"/>
      <c r="G549" s="11">
        <v>43554</v>
      </c>
      <c r="H549" s="51"/>
      <c r="I549" s="52"/>
      <c r="J549" s="51"/>
      <c r="K549" s="51"/>
      <c r="L549" s="9"/>
      <c r="M549" s="10" t="str">
        <f t="shared" si="89"/>
        <v>Mar-19</v>
      </c>
      <c r="N549" s="10" t="str">
        <f t="shared" si="90"/>
        <v>Jan-00</v>
      </c>
      <c r="O549" s="17" t="s">
        <v>1253</v>
      </c>
      <c r="P549" s="33" t="s">
        <v>960</v>
      </c>
      <c r="Q549" s="45">
        <v>1098.3399999999999</v>
      </c>
      <c r="R549" s="45"/>
      <c r="S549" s="45">
        <f t="shared" si="97"/>
        <v>1098.3399999999999</v>
      </c>
      <c r="T549" s="146">
        <f t="shared" si="91"/>
        <v>1208.174</v>
      </c>
      <c r="U549" s="65"/>
      <c r="V549" s="65"/>
      <c r="W549" s="21">
        <f t="shared" si="94"/>
        <v>0</v>
      </c>
      <c r="X549" s="22">
        <f t="shared" si="92"/>
        <v>1098.3399999999999</v>
      </c>
      <c r="Y549" s="35">
        <f t="shared" si="93"/>
        <v>1</v>
      </c>
      <c r="Z549" s="20"/>
      <c r="AA549" s="11"/>
      <c r="AB549" s="20"/>
      <c r="AC549" s="24" t="s">
        <v>73</v>
      </c>
      <c r="AD549" s="10" t="s">
        <v>47</v>
      </c>
      <c r="AE549" s="10">
        <v>43446</v>
      </c>
      <c r="AF549" s="63"/>
      <c r="AG549" s="10">
        <v>43523</v>
      </c>
      <c r="AH549" s="25">
        <f t="shared" si="95"/>
        <v>77</v>
      </c>
      <c r="AK549" s="27"/>
    </row>
    <row r="550" spans="1:37" s="26" customFormat="1" ht="15" customHeight="1" x14ac:dyDescent="0.45">
      <c r="A550" s="28" t="s">
        <v>41</v>
      </c>
      <c r="B550" s="8" t="s">
        <v>129</v>
      </c>
      <c r="C550" s="8" t="s">
        <v>57</v>
      </c>
      <c r="D550" s="9"/>
      <c r="E550" s="9"/>
      <c r="F550" s="10"/>
      <c r="G550" s="11">
        <v>43554</v>
      </c>
      <c r="H550" s="51"/>
      <c r="I550" s="52"/>
      <c r="J550" s="51"/>
      <c r="K550" s="51"/>
      <c r="L550" s="9"/>
      <c r="M550" s="10" t="str">
        <f t="shared" si="89"/>
        <v>Mar-19</v>
      </c>
      <c r="N550" s="10" t="str">
        <f t="shared" si="90"/>
        <v>Jan-00</v>
      </c>
      <c r="O550" s="17" t="s">
        <v>1254</v>
      </c>
      <c r="P550" s="33" t="s">
        <v>1184</v>
      </c>
      <c r="Q550" s="45">
        <v>4436.08</v>
      </c>
      <c r="R550" s="45"/>
      <c r="S550" s="45">
        <f t="shared" si="97"/>
        <v>4436.08</v>
      </c>
      <c r="T550" s="146">
        <f t="shared" si="91"/>
        <v>4879.6880000000001</v>
      </c>
      <c r="U550" s="65"/>
      <c r="V550" s="65"/>
      <c r="W550" s="21">
        <f t="shared" si="94"/>
        <v>0</v>
      </c>
      <c r="X550" s="22">
        <f t="shared" si="92"/>
        <v>4436.08</v>
      </c>
      <c r="Y550" s="35">
        <f t="shared" si="93"/>
        <v>1</v>
      </c>
      <c r="Z550" s="20"/>
      <c r="AA550" s="11"/>
      <c r="AB550" s="20"/>
      <c r="AC550" s="24" t="s">
        <v>73</v>
      </c>
      <c r="AD550" s="10" t="s">
        <v>47</v>
      </c>
      <c r="AE550" s="10">
        <v>43446</v>
      </c>
      <c r="AF550" s="63"/>
      <c r="AG550" s="10">
        <v>43523</v>
      </c>
      <c r="AH550" s="25">
        <f t="shared" si="95"/>
        <v>77</v>
      </c>
      <c r="AK550" s="27"/>
    </row>
    <row r="551" spans="1:37" s="26" customFormat="1" ht="15" customHeight="1" x14ac:dyDescent="0.45">
      <c r="A551" s="28" t="s">
        <v>41</v>
      </c>
      <c r="B551" s="8" t="s">
        <v>56</v>
      </c>
      <c r="C551" s="8" t="s">
        <v>57</v>
      </c>
      <c r="D551" s="9"/>
      <c r="E551" s="9"/>
      <c r="F551" s="10"/>
      <c r="G551" s="11">
        <v>43554</v>
      </c>
      <c r="H551" s="51"/>
      <c r="I551" s="52"/>
      <c r="J551" s="51"/>
      <c r="K551" s="51"/>
      <c r="L551" s="9"/>
      <c r="M551" s="10" t="str">
        <f t="shared" si="89"/>
        <v>Mar-19</v>
      </c>
      <c r="N551" s="10" t="str">
        <f t="shared" si="90"/>
        <v>Jan-00</v>
      </c>
      <c r="O551" s="17" t="s">
        <v>1255</v>
      </c>
      <c r="P551" s="33" t="s">
        <v>1256</v>
      </c>
      <c r="Q551" s="45">
        <v>1844.58</v>
      </c>
      <c r="R551" s="45"/>
      <c r="S551" s="45">
        <f t="shared" si="97"/>
        <v>1844.58</v>
      </c>
      <c r="T551" s="146">
        <f t="shared" si="91"/>
        <v>2029.038</v>
      </c>
      <c r="U551" s="65"/>
      <c r="V551" s="65"/>
      <c r="W551" s="21">
        <f t="shared" si="94"/>
        <v>0</v>
      </c>
      <c r="X551" s="22">
        <f t="shared" si="92"/>
        <v>1844.58</v>
      </c>
      <c r="Y551" s="35">
        <f t="shared" si="93"/>
        <v>1</v>
      </c>
      <c r="Z551" s="20"/>
      <c r="AA551" s="11"/>
      <c r="AB551" s="20"/>
      <c r="AC551" s="24" t="s">
        <v>73</v>
      </c>
      <c r="AD551" s="10" t="s">
        <v>47</v>
      </c>
      <c r="AE551" s="10">
        <v>43446</v>
      </c>
      <c r="AF551" s="63"/>
      <c r="AG551" s="10">
        <v>43523</v>
      </c>
      <c r="AH551" s="25">
        <f t="shared" si="95"/>
        <v>77</v>
      </c>
      <c r="AK551" s="27"/>
    </row>
    <row r="552" spans="1:37" s="26" customFormat="1" ht="15" customHeight="1" x14ac:dyDescent="0.45">
      <c r="A552" s="28" t="s">
        <v>41</v>
      </c>
      <c r="B552" s="8" t="s">
        <v>373</v>
      </c>
      <c r="C552" s="8" t="s">
        <v>43</v>
      </c>
      <c r="D552" s="9"/>
      <c r="E552" s="9"/>
      <c r="F552" s="10">
        <v>43503</v>
      </c>
      <c r="G552" s="11">
        <v>43504</v>
      </c>
      <c r="H552" s="51">
        <v>43504</v>
      </c>
      <c r="I552" s="52"/>
      <c r="J552" s="14">
        <f>G552+14</f>
        <v>43518</v>
      </c>
      <c r="K552" s="51">
        <f>J552+14</f>
        <v>43532</v>
      </c>
      <c r="L552" s="9"/>
      <c r="M552" s="10" t="str">
        <f t="shared" si="89"/>
        <v>Feb-19</v>
      </c>
      <c r="N552" s="10" t="str">
        <f t="shared" si="90"/>
        <v>Mar-19</v>
      </c>
      <c r="O552" s="17" t="s">
        <v>1257</v>
      </c>
      <c r="P552" s="33" t="s">
        <v>1168</v>
      </c>
      <c r="Q552" s="45">
        <v>505.61</v>
      </c>
      <c r="R552" s="45">
        <v>2254.9490000000001</v>
      </c>
      <c r="S552" s="45">
        <f t="shared" si="97"/>
        <v>2760.5590000000002</v>
      </c>
      <c r="T552" s="146">
        <f t="shared" si="91"/>
        <v>3036.6149000000005</v>
      </c>
      <c r="U552" s="65">
        <v>516</v>
      </c>
      <c r="V552" s="65"/>
      <c r="W552" s="21">
        <f t="shared" si="94"/>
        <v>516</v>
      </c>
      <c r="X552" s="22">
        <f t="shared" si="92"/>
        <v>2244.5590000000002</v>
      </c>
      <c r="Y552" s="35">
        <f t="shared" si="93"/>
        <v>0.81308133606273225</v>
      </c>
      <c r="Z552" s="20"/>
      <c r="AA552" s="11"/>
      <c r="AB552" s="20"/>
      <c r="AC552" s="24" t="s">
        <v>73</v>
      </c>
      <c r="AD552" s="10" t="s">
        <v>47</v>
      </c>
      <c r="AE552" s="10">
        <v>43446</v>
      </c>
      <c r="AF552" s="63"/>
      <c r="AG552" s="10">
        <v>43523</v>
      </c>
      <c r="AH552" s="25">
        <f t="shared" si="95"/>
        <v>77</v>
      </c>
      <c r="AK552" s="27"/>
    </row>
    <row r="553" spans="1:37" s="26" customFormat="1" ht="15" customHeight="1" x14ac:dyDescent="0.45">
      <c r="A553" s="8" t="s">
        <v>774</v>
      </c>
      <c r="B553" s="8" t="s">
        <v>42</v>
      </c>
      <c r="C553" s="8" t="s">
        <v>36</v>
      </c>
      <c r="D553" s="9"/>
      <c r="E553" s="9"/>
      <c r="F553" s="10"/>
      <c r="G553" s="11">
        <v>43554</v>
      </c>
      <c r="H553" s="51"/>
      <c r="I553" s="52"/>
      <c r="J553" s="51"/>
      <c r="K553" s="51"/>
      <c r="L553" s="9"/>
      <c r="M553" s="10" t="str">
        <f t="shared" si="89"/>
        <v>Mar-19</v>
      </c>
      <c r="N553" s="10" t="str">
        <f t="shared" si="90"/>
        <v>Jan-00</v>
      </c>
      <c r="O553" s="113" t="s">
        <v>1258</v>
      </c>
      <c r="P553" s="114" t="s">
        <v>172</v>
      </c>
      <c r="Q553" s="45">
        <v>30651.5</v>
      </c>
      <c r="R553" s="45"/>
      <c r="S553" s="45">
        <f t="shared" si="97"/>
        <v>30651.5</v>
      </c>
      <c r="T553" s="146">
        <f t="shared" si="91"/>
        <v>33716.65</v>
      </c>
      <c r="U553" s="65">
        <v>17579.849999999999</v>
      </c>
      <c r="V553" s="65"/>
      <c r="W553" s="21">
        <f t="shared" si="94"/>
        <v>17579.849999999999</v>
      </c>
      <c r="X553" s="22">
        <f t="shared" si="92"/>
        <v>13071.650000000001</v>
      </c>
      <c r="Y553" s="35">
        <f t="shared" si="93"/>
        <v>0.42646036898683592</v>
      </c>
      <c r="Z553" s="20"/>
      <c r="AA553" s="11"/>
      <c r="AB553" s="20"/>
      <c r="AC553" s="24" t="s">
        <v>69</v>
      </c>
      <c r="AD553" s="10" t="s">
        <v>47</v>
      </c>
      <c r="AE553" s="10">
        <v>43446</v>
      </c>
      <c r="AF553" s="63"/>
      <c r="AG553" s="10">
        <v>43523</v>
      </c>
      <c r="AH553" s="25">
        <f>AG553-AE553</f>
        <v>77</v>
      </c>
      <c r="AK553" s="27"/>
    </row>
    <row r="554" spans="1:37" s="26" customFormat="1" ht="15" customHeight="1" x14ac:dyDescent="0.45">
      <c r="A554" s="8" t="s">
        <v>546</v>
      </c>
      <c r="B554" s="8" t="s">
        <v>35</v>
      </c>
      <c r="C554" s="8" t="s">
        <v>51</v>
      </c>
      <c r="D554" s="9" t="s">
        <v>1259</v>
      </c>
      <c r="E554" s="9">
        <v>43481</v>
      </c>
      <c r="F554" s="10">
        <v>43481</v>
      </c>
      <c r="G554" s="11">
        <v>43481</v>
      </c>
      <c r="H554" s="67"/>
      <c r="I554" s="68"/>
      <c r="J554" s="67"/>
      <c r="K554" s="14">
        <v>43482</v>
      </c>
      <c r="L554" s="9"/>
      <c r="M554" s="10" t="str">
        <f t="shared" si="89"/>
        <v>Jan-19</v>
      </c>
      <c r="N554" s="10" t="s">
        <v>1260</v>
      </c>
      <c r="O554" s="113" t="s">
        <v>1258</v>
      </c>
      <c r="P554" s="114" t="s">
        <v>172</v>
      </c>
      <c r="Q554" s="45">
        <f>30651.5*0.3</f>
        <v>9195.4499999999989</v>
      </c>
      <c r="R554" s="68"/>
      <c r="S554" s="45">
        <f t="shared" si="97"/>
        <v>9195.4499999999989</v>
      </c>
      <c r="T554" s="146">
        <v>33716.65</v>
      </c>
      <c r="U554" s="68"/>
      <c r="V554" s="67"/>
      <c r="W554" s="21">
        <f t="shared" si="94"/>
        <v>0</v>
      </c>
      <c r="X554" s="22">
        <f t="shared" si="92"/>
        <v>9195.4499999999989</v>
      </c>
      <c r="Y554" s="35">
        <f t="shared" si="93"/>
        <v>1</v>
      </c>
      <c r="Z554" s="20"/>
      <c r="AA554" s="11"/>
      <c r="AB554" s="20"/>
      <c r="AC554" s="24" t="s">
        <v>69</v>
      </c>
      <c r="AD554" s="10" t="s">
        <v>47</v>
      </c>
      <c r="AE554" s="10">
        <v>43446</v>
      </c>
      <c r="AF554" s="63"/>
      <c r="AG554" s="10">
        <v>43523</v>
      </c>
      <c r="AH554" s="25">
        <v>77</v>
      </c>
      <c r="AK554" s="27"/>
    </row>
    <row r="555" spans="1:37" s="26" customFormat="1" ht="15" customHeight="1" x14ac:dyDescent="0.45">
      <c r="A555" s="28" t="s">
        <v>41</v>
      </c>
      <c r="B555" s="8" t="s">
        <v>65</v>
      </c>
      <c r="C555" s="8" t="s">
        <v>57</v>
      </c>
      <c r="D555" s="9"/>
      <c r="E555" s="9"/>
      <c r="F555" s="10"/>
      <c r="G555" s="11">
        <v>43524</v>
      </c>
      <c r="H555" s="67"/>
      <c r="I555" s="68"/>
      <c r="J555" s="67"/>
      <c r="K555" s="51"/>
      <c r="L555" s="9"/>
      <c r="M555" s="10" t="str">
        <f t="shared" si="89"/>
        <v>Feb-19</v>
      </c>
      <c r="N555" s="10" t="str">
        <f t="shared" ref="N555:N618" si="98">TEXT(K555,"mmm-yy")</f>
        <v>Jan-00</v>
      </c>
      <c r="O555" s="17" t="s">
        <v>1261</v>
      </c>
      <c r="P555" s="33" t="s">
        <v>433</v>
      </c>
      <c r="Q555" s="45">
        <v>1713.6</v>
      </c>
      <c r="R555" s="45"/>
      <c r="S555" s="45">
        <f t="shared" si="97"/>
        <v>1713.6</v>
      </c>
      <c r="T555" s="146">
        <f t="shared" ref="T555:T599" si="99">S555*1.1</f>
        <v>1884.96</v>
      </c>
      <c r="U555" s="65"/>
      <c r="V555" s="65"/>
      <c r="W555" s="21">
        <f t="shared" si="94"/>
        <v>0</v>
      </c>
      <c r="X555" s="22">
        <f t="shared" si="92"/>
        <v>1713.6</v>
      </c>
      <c r="Y555" s="35">
        <f t="shared" si="93"/>
        <v>1</v>
      </c>
      <c r="Z555" s="20"/>
      <c r="AA555" s="11"/>
      <c r="AB555" s="20"/>
      <c r="AC555" s="24" t="s">
        <v>73</v>
      </c>
      <c r="AD555" s="10" t="s">
        <v>47</v>
      </c>
      <c r="AE555" s="10">
        <v>43446</v>
      </c>
      <c r="AF555" s="63"/>
      <c r="AG555" s="10">
        <v>43495</v>
      </c>
      <c r="AH555" s="25">
        <f t="shared" ref="AH555:AH618" si="100">AG555-AE555</f>
        <v>49</v>
      </c>
      <c r="AK555" s="27"/>
    </row>
    <row r="556" spans="1:37" s="26" customFormat="1" ht="15" customHeight="1" x14ac:dyDescent="0.45">
      <c r="A556" s="28" t="s">
        <v>1127</v>
      </c>
      <c r="B556" s="8" t="s">
        <v>42</v>
      </c>
      <c r="C556" s="28" t="s">
        <v>378</v>
      </c>
      <c r="D556" s="9"/>
      <c r="E556" s="9"/>
      <c r="F556" s="10">
        <v>43502</v>
      </c>
      <c r="G556" s="11">
        <v>43148</v>
      </c>
      <c r="H556" s="14">
        <v>43513</v>
      </c>
      <c r="I556" s="54">
        <v>43521</v>
      </c>
      <c r="J556" s="14">
        <f>G556+14</f>
        <v>43162</v>
      </c>
      <c r="K556" s="51">
        <f>J556+14</f>
        <v>43176</v>
      </c>
      <c r="L556" s="9"/>
      <c r="M556" s="10" t="str">
        <f t="shared" si="89"/>
        <v>Feb-18</v>
      </c>
      <c r="N556" s="10" t="str">
        <f t="shared" si="98"/>
        <v>Mar-18</v>
      </c>
      <c r="O556" s="143" t="s">
        <v>1262</v>
      </c>
      <c r="P556" s="144" t="s">
        <v>1263</v>
      </c>
      <c r="Q556" s="45">
        <v>11861</v>
      </c>
      <c r="R556" s="45">
        <v>1749</v>
      </c>
      <c r="S556" s="45">
        <f t="shared" si="97"/>
        <v>13610</v>
      </c>
      <c r="T556" s="146">
        <f t="shared" si="99"/>
        <v>14971.000000000002</v>
      </c>
      <c r="U556" s="65">
        <v>2600</v>
      </c>
      <c r="V556" s="65"/>
      <c r="W556" s="21">
        <f t="shared" si="94"/>
        <v>2600</v>
      </c>
      <c r="X556" s="22">
        <f t="shared" si="92"/>
        <v>11010</v>
      </c>
      <c r="Y556" s="35">
        <f t="shared" si="93"/>
        <v>0.80896399706098454</v>
      </c>
      <c r="Z556" s="20"/>
      <c r="AA556" s="11"/>
      <c r="AB556" s="20"/>
      <c r="AC556" s="24" t="s">
        <v>1130</v>
      </c>
      <c r="AD556" s="10" t="s">
        <v>47</v>
      </c>
      <c r="AE556" s="10">
        <v>43446</v>
      </c>
      <c r="AF556" s="63"/>
      <c r="AG556" s="10">
        <v>43487</v>
      </c>
      <c r="AH556" s="25">
        <f t="shared" si="100"/>
        <v>41</v>
      </c>
      <c r="AK556" s="27"/>
    </row>
    <row r="557" spans="1:37" s="26" customFormat="1" ht="15" customHeight="1" x14ac:dyDescent="0.45">
      <c r="A557" s="28" t="s">
        <v>1127</v>
      </c>
      <c r="B557" s="8" t="s">
        <v>42</v>
      </c>
      <c r="C557" s="28" t="s">
        <v>378</v>
      </c>
      <c r="D557" s="9"/>
      <c r="E557" s="9"/>
      <c r="F557" s="10">
        <v>43502</v>
      </c>
      <c r="G557" s="11">
        <v>43148</v>
      </c>
      <c r="H557" s="14">
        <v>43513</v>
      </c>
      <c r="I557" s="54">
        <v>43521</v>
      </c>
      <c r="J557" s="14">
        <f>G557+14</f>
        <v>43162</v>
      </c>
      <c r="K557" s="51">
        <f>J557+14</f>
        <v>43176</v>
      </c>
      <c r="L557" s="9"/>
      <c r="M557" s="10" t="str">
        <f t="shared" si="89"/>
        <v>Feb-18</v>
      </c>
      <c r="N557" s="10" t="str">
        <f t="shared" si="98"/>
        <v>Mar-18</v>
      </c>
      <c r="O557" s="143" t="s">
        <v>1264</v>
      </c>
      <c r="P557" s="144" t="s">
        <v>1265</v>
      </c>
      <c r="Q557" s="45">
        <v>12974</v>
      </c>
      <c r="R557" s="45">
        <v>28938</v>
      </c>
      <c r="S557" s="45">
        <f t="shared" si="97"/>
        <v>41912</v>
      </c>
      <c r="T557" s="146">
        <f t="shared" si="99"/>
        <v>46103.200000000004</v>
      </c>
      <c r="U557" s="65">
        <v>14230.68</v>
      </c>
      <c r="V557" s="65"/>
      <c r="W557" s="21">
        <f t="shared" si="94"/>
        <v>14230.68</v>
      </c>
      <c r="X557" s="79">
        <f t="shared" si="92"/>
        <v>27681.32</v>
      </c>
      <c r="Y557" s="80">
        <f t="shared" si="93"/>
        <v>0.66046287459438824</v>
      </c>
      <c r="Z557" s="20"/>
      <c r="AA557" s="11"/>
      <c r="AB557" s="20"/>
      <c r="AC557" s="24" t="s">
        <v>1130</v>
      </c>
      <c r="AD557" s="10">
        <v>43455</v>
      </c>
      <c r="AE557" s="10">
        <v>43468</v>
      </c>
      <c r="AF557" s="63">
        <f>AE557-AD557</f>
        <v>13</v>
      </c>
      <c r="AG557" s="10">
        <v>43487</v>
      </c>
      <c r="AH557" s="25">
        <f t="shared" si="100"/>
        <v>19</v>
      </c>
      <c r="AK557" s="27"/>
    </row>
    <row r="558" spans="1:37" s="26" customFormat="1" ht="15" customHeight="1" x14ac:dyDescent="0.45">
      <c r="A558" s="28" t="s">
        <v>41</v>
      </c>
      <c r="B558" s="8" t="s">
        <v>56</v>
      </c>
      <c r="C558" s="8" t="s">
        <v>57</v>
      </c>
      <c r="D558" s="9"/>
      <c r="E558" s="9"/>
      <c r="F558" s="10">
        <v>43514</v>
      </c>
      <c r="G558" s="10">
        <v>43514</v>
      </c>
      <c r="H558" s="67"/>
      <c r="I558" s="68"/>
      <c r="J558" s="14">
        <f>G558+14</f>
        <v>43528</v>
      </c>
      <c r="K558" s="51">
        <f>J558+14</f>
        <v>43542</v>
      </c>
      <c r="L558" s="9"/>
      <c r="M558" s="10" t="str">
        <f t="shared" si="89"/>
        <v>Feb-19</v>
      </c>
      <c r="N558" s="10" t="str">
        <f t="shared" si="98"/>
        <v>Mar-19</v>
      </c>
      <c r="O558" s="17" t="s">
        <v>1266</v>
      </c>
      <c r="P558" s="33" t="s">
        <v>1203</v>
      </c>
      <c r="Q558" s="45">
        <v>856.8</v>
      </c>
      <c r="R558" s="73"/>
      <c r="S558" s="45">
        <f t="shared" si="97"/>
        <v>856.8</v>
      </c>
      <c r="T558" s="146">
        <f t="shared" si="99"/>
        <v>942.48</v>
      </c>
      <c r="U558" s="65"/>
      <c r="V558" s="65"/>
      <c r="W558" s="21">
        <f t="shared" si="94"/>
        <v>0</v>
      </c>
      <c r="X558" s="22">
        <f t="shared" si="92"/>
        <v>856.8</v>
      </c>
      <c r="Y558" s="35">
        <f t="shared" si="93"/>
        <v>1</v>
      </c>
      <c r="Z558" s="20"/>
      <c r="AA558" s="11"/>
      <c r="AB558" s="20"/>
      <c r="AC558" s="24" t="s">
        <v>73</v>
      </c>
      <c r="AD558" s="10" t="s">
        <v>47</v>
      </c>
      <c r="AE558" s="10">
        <v>43445</v>
      </c>
      <c r="AF558" s="63"/>
      <c r="AG558" s="10">
        <v>43483</v>
      </c>
      <c r="AH558" s="25">
        <f t="shared" si="100"/>
        <v>38</v>
      </c>
      <c r="AK558" s="27"/>
    </row>
    <row r="559" spans="1:37" s="26" customFormat="1" ht="15" customHeight="1" x14ac:dyDescent="0.45">
      <c r="A559" s="28" t="s">
        <v>41</v>
      </c>
      <c r="B559" s="8" t="s">
        <v>65</v>
      </c>
      <c r="C559" s="8" t="s">
        <v>57</v>
      </c>
      <c r="D559" s="9"/>
      <c r="E559" s="9"/>
      <c r="F559" s="10"/>
      <c r="G559" s="11">
        <v>43554</v>
      </c>
      <c r="H559" s="51"/>
      <c r="I559" s="52"/>
      <c r="J559" s="51"/>
      <c r="K559" s="51"/>
      <c r="L559" s="9"/>
      <c r="M559" s="10" t="str">
        <f t="shared" si="89"/>
        <v>Mar-19</v>
      </c>
      <c r="N559" s="10" t="str">
        <f t="shared" si="98"/>
        <v>Jan-00</v>
      </c>
      <c r="O559" s="17" t="s">
        <v>1267</v>
      </c>
      <c r="P559" s="33" t="s">
        <v>433</v>
      </c>
      <c r="Q559" s="45">
        <v>2107.7600000000002</v>
      </c>
      <c r="R559" s="45"/>
      <c r="S559" s="45">
        <f t="shared" si="97"/>
        <v>2107.7600000000002</v>
      </c>
      <c r="T559" s="146">
        <f t="shared" si="99"/>
        <v>2318.5360000000005</v>
      </c>
      <c r="U559" s="65">
        <v>300</v>
      </c>
      <c r="V559" s="65"/>
      <c r="W559" s="21">
        <f t="shared" si="94"/>
        <v>300</v>
      </c>
      <c r="X559" s="22">
        <f t="shared" si="92"/>
        <v>1807.7600000000002</v>
      </c>
      <c r="Y559" s="35">
        <f t="shared" si="93"/>
        <v>0.85766880479751018</v>
      </c>
      <c r="Z559" s="20"/>
      <c r="AA559" s="11"/>
      <c r="AB559" s="20"/>
      <c r="AC559" s="24" t="s">
        <v>73</v>
      </c>
      <c r="AD559" s="10" t="s">
        <v>47</v>
      </c>
      <c r="AE559" s="10">
        <v>43445</v>
      </c>
      <c r="AF559" s="63"/>
      <c r="AG559" s="10">
        <v>43523</v>
      </c>
      <c r="AH559" s="25">
        <f t="shared" si="100"/>
        <v>78</v>
      </c>
      <c r="AK559" s="27"/>
    </row>
    <row r="560" spans="1:37" s="26" customFormat="1" ht="15" customHeight="1" x14ac:dyDescent="0.45">
      <c r="A560" s="8" t="s">
        <v>34</v>
      </c>
      <c r="B560" s="8" t="s">
        <v>146</v>
      </c>
      <c r="C560" s="8" t="s">
        <v>36</v>
      </c>
      <c r="D560" s="9"/>
      <c r="E560" s="9"/>
      <c r="F560" s="10">
        <v>43531</v>
      </c>
      <c r="G560" s="10">
        <v>43531</v>
      </c>
      <c r="H560" s="51">
        <v>43535</v>
      </c>
      <c r="I560" s="52"/>
      <c r="J560" s="51">
        <f>G560+14</f>
        <v>43545</v>
      </c>
      <c r="K560" s="51">
        <f>J560+14</f>
        <v>43559</v>
      </c>
      <c r="L560" s="9"/>
      <c r="M560" s="10" t="str">
        <f t="shared" si="89"/>
        <v>Mar-19</v>
      </c>
      <c r="N560" s="10" t="str">
        <f t="shared" si="98"/>
        <v>Apr-19</v>
      </c>
      <c r="O560" s="17" t="s">
        <v>1268</v>
      </c>
      <c r="P560" s="33" t="s">
        <v>851</v>
      </c>
      <c r="Q560" s="45">
        <v>8594.65</v>
      </c>
      <c r="R560" s="45">
        <v>3796.15</v>
      </c>
      <c r="S560" s="45">
        <f t="shared" si="97"/>
        <v>12390.8</v>
      </c>
      <c r="T560" s="146">
        <f t="shared" si="99"/>
        <v>13629.880000000001</v>
      </c>
      <c r="U560" s="65">
        <v>474.4</v>
      </c>
      <c r="V560" s="65"/>
      <c r="W560" s="21">
        <f t="shared" si="94"/>
        <v>474.4</v>
      </c>
      <c r="X560" s="22">
        <f t="shared" si="92"/>
        <v>11916.4</v>
      </c>
      <c r="Y560" s="35">
        <f t="shared" si="93"/>
        <v>0.96171352939277532</v>
      </c>
      <c r="Z560" s="20"/>
      <c r="AA560" s="11"/>
      <c r="AB560" s="20"/>
      <c r="AC560" s="24" t="s">
        <v>73</v>
      </c>
      <c r="AD560" s="10">
        <v>43434</v>
      </c>
      <c r="AE560" s="10">
        <v>43445</v>
      </c>
      <c r="AF560" s="63">
        <f>AE560-AD560</f>
        <v>11</v>
      </c>
      <c r="AG560" s="10">
        <v>43515</v>
      </c>
      <c r="AH560" s="25">
        <f t="shared" si="100"/>
        <v>70</v>
      </c>
      <c r="AK560" s="27"/>
    </row>
    <row r="561" spans="1:37" s="26" customFormat="1" ht="15" customHeight="1" x14ac:dyDescent="0.45">
      <c r="A561" s="8" t="s">
        <v>34</v>
      </c>
      <c r="B561" s="8" t="s">
        <v>373</v>
      </c>
      <c r="C561" s="28" t="s">
        <v>43</v>
      </c>
      <c r="D561" s="9"/>
      <c r="E561" s="9"/>
      <c r="F561" s="10"/>
      <c r="G561" s="11">
        <v>43554</v>
      </c>
      <c r="H561" s="51"/>
      <c r="I561" s="52"/>
      <c r="J561" s="51"/>
      <c r="K561" s="51"/>
      <c r="L561" s="9"/>
      <c r="M561" s="10" t="str">
        <f t="shared" si="89"/>
        <v>Mar-19</v>
      </c>
      <c r="N561" s="10" t="str">
        <f t="shared" si="98"/>
        <v>Jan-00</v>
      </c>
      <c r="O561" s="17" t="s">
        <v>1269</v>
      </c>
      <c r="P561" s="33" t="s">
        <v>1248</v>
      </c>
      <c r="Q561" s="45">
        <v>964.26</v>
      </c>
      <c r="R561" s="45"/>
      <c r="S561" s="45">
        <f t="shared" si="97"/>
        <v>964.26</v>
      </c>
      <c r="T561" s="146">
        <f t="shared" si="99"/>
        <v>1060.6860000000001</v>
      </c>
      <c r="U561" s="65"/>
      <c r="V561" s="65"/>
      <c r="W561" s="21">
        <f t="shared" si="94"/>
        <v>0</v>
      </c>
      <c r="X561" s="22">
        <f t="shared" si="92"/>
        <v>964.26</v>
      </c>
      <c r="Y561" s="35">
        <f t="shared" si="93"/>
        <v>1</v>
      </c>
      <c r="Z561" s="20"/>
      <c r="AA561" s="11"/>
      <c r="AB561" s="20"/>
      <c r="AC561" s="24" t="s">
        <v>69</v>
      </c>
      <c r="AD561" s="10" t="s">
        <v>47</v>
      </c>
      <c r="AE561" s="10">
        <v>43445</v>
      </c>
      <c r="AF561" s="63"/>
      <c r="AG561" s="10">
        <v>43523</v>
      </c>
      <c r="AH561" s="25">
        <f t="shared" si="100"/>
        <v>78</v>
      </c>
      <c r="AK561" s="27"/>
    </row>
    <row r="562" spans="1:37" s="26" customFormat="1" ht="15" customHeight="1" x14ac:dyDescent="0.45">
      <c r="A562" s="28" t="s">
        <v>41</v>
      </c>
      <c r="B562" s="8" t="s">
        <v>56</v>
      </c>
      <c r="C562" s="8" t="s">
        <v>57</v>
      </c>
      <c r="D562" s="9"/>
      <c r="E562" s="9"/>
      <c r="F562" s="10"/>
      <c r="G562" s="11">
        <v>43554</v>
      </c>
      <c r="H562" s="51"/>
      <c r="I562" s="52"/>
      <c r="J562" s="51"/>
      <c r="K562" s="51"/>
      <c r="L562" s="9"/>
      <c r="M562" s="10" t="str">
        <f t="shared" si="89"/>
        <v>Mar-19</v>
      </c>
      <c r="N562" s="10" t="str">
        <f t="shared" si="98"/>
        <v>Jan-00</v>
      </c>
      <c r="O562" s="17" t="s">
        <v>1270</v>
      </c>
      <c r="P562" s="33" t="s">
        <v>54</v>
      </c>
      <c r="Q562" s="45">
        <v>1421.68</v>
      </c>
      <c r="R562" s="45"/>
      <c r="S562" s="45">
        <f t="shared" si="97"/>
        <v>1421.68</v>
      </c>
      <c r="T562" s="146">
        <f t="shared" si="99"/>
        <v>1563.8480000000002</v>
      </c>
      <c r="U562" s="65">
        <v>300</v>
      </c>
      <c r="V562" s="65"/>
      <c r="W562" s="21">
        <f t="shared" si="94"/>
        <v>300</v>
      </c>
      <c r="X562" s="22">
        <f t="shared" si="92"/>
        <v>1121.68</v>
      </c>
      <c r="Y562" s="35">
        <f t="shared" si="93"/>
        <v>0.78898204940633621</v>
      </c>
      <c r="Z562" s="20"/>
      <c r="AA562" s="11"/>
      <c r="AB562" s="20"/>
      <c r="AC562" s="24" t="s">
        <v>73</v>
      </c>
      <c r="AD562" s="10" t="s">
        <v>47</v>
      </c>
      <c r="AE562" s="10">
        <v>43449</v>
      </c>
      <c r="AF562" s="63"/>
      <c r="AG562" s="10">
        <v>43529</v>
      </c>
      <c r="AH562" s="25">
        <f t="shared" si="100"/>
        <v>80</v>
      </c>
      <c r="AK562" s="27"/>
    </row>
    <row r="563" spans="1:37" s="26" customFormat="1" ht="15" customHeight="1" x14ac:dyDescent="0.45">
      <c r="A563" s="28" t="s">
        <v>41</v>
      </c>
      <c r="B563" s="8" t="s">
        <v>65</v>
      </c>
      <c r="C563" s="8" t="s">
        <v>57</v>
      </c>
      <c r="D563" s="9" t="s">
        <v>1271</v>
      </c>
      <c r="E563" s="9">
        <v>43590</v>
      </c>
      <c r="F563" s="10">
        <v>43489</v>
      </c>
      <c r="G563" s="11">
        <v>43489</v>
      </c>
      <c r="H563" s="67"/>
      <c r="I563" s="68"/>
      <c r="J563" s="14">
        <f>G563+14</f>
        <v>43503</v>
      </c>
      <c r="K563" s="15">
        <v>43524</v>
      </c>
      <c r="L563" s="9"/>
      <c r="M563" s="10" t="str">
        <f t="shared" si="89"/>
        <v>Jan-19</v>
      </c>
      <c r="N563" s="10" t="str">
        <f t="shared" si="98"/>
        <v>Feb-19</v>
      </c>
      <c r="O563" s="17" t="s">
        <v>1272</v>
      </c>
      <c r="P563" s="33" t="s">
        <v>68</v>
      </c>
      <c r="Q563" s="45">
        <v>4608.26</v>
      </c>
      <c r="R563" s="73"/>
      <c r="S563" s="45">
        <f t="shared" si="97"/>
        <v>4608.26</v>
      </c>
      <c r="T563" s="146">
        <f t="shared" si="99"/>
        <v>5069.0860000000002</v>
      </c>
      <c r="U563" s="65"/>
      <c r="V563" s="65"/>
      <c r="W563" s="21">
        <f t="shared" si="94"/>
        <v>0</v>
      </c>
      <c r="X563" s="22">
        <f t="shared" si="92"/>
        <v>4608.26</v>
      </c>
      <c r="Y563" s="35">
        <f t="shared" si="93"/>
        <v>1</v>
      </c>
      <c r="Z563" s="20"/>
      <c r="AA563" s="11"/>
      <c r="AB563" s="20"/>
      <c r="AC563" s="24" t="s">
        <v>73</v>
      </c>
      <c r="AD563" s="10" t="s">
        <v>47</v>
      </c>
      <c r="AE563" s="10">
        <v>43449</v>
      </c>
      <c r="AF563" s="63"/>
      <c r="AG563" s="10">
        <v>43522</v>
      </c>
      <c r="AH563" s="25">
        <f t="shared" si="100"/>
        <v>73</v>
      </c>
      <c r="AK563" s="27"/>
    </row>
    <row r="564" spans="1:37" s="26" customFormat="1" ht="15" customHeight="1" x14ac:dyDescent="0.45">
      <c r="A564" s="28" t="s">
        <v>41</v>
      </c>
      <c r="B564" s="8" t="s">
        <v>357</v>
      </c>
      <c r="C564" s="8" t="s">
        <v>57</v>
      </c>
      <c r="D564" s="9"/>
      <c r="E564" s="9"/>
      <c r="F564" s="10"/>
      <c r="G564" s="11">
        <v>43554</v>
      </c>
      <c r="H564" s="51"/>
      <c r="I564" s="52"/>
      <c r="J564" s="51"/>
      <c r="K564" s="51"/>
      <c r="L564" s="9"/>
      <c r="M564" s="10" t="str">
        <f t="shared" si="89"/>
        <v>Mar-19</v>
      </c>
      <c r="N564" s="10" t="str">
        <f t="shared" si="98"/>
        <v>Jan-00</v>
      </c>
      <c r="O564" s="17" t="s">
        <v>1273</v>
      </c>
      <c r="P564" s="33" t="s">
        <v>1274</v>
      </c>
      <c r="Q564" s="45">
        <v>2863.75</v>
      </c>
      <c r="R564" s="45"/>
      <c r="S564" s="45">
        <f t="shared" si="97"/>
        <v>2863.75</v>
      </c>
      <c r="T564" s="146">
        <f t="shared" si="99"/>
        <v>3150.1250000000005</v>
      </c>
      <c r="U564" s="65"/>
      <c r="V564" s="65"/>
      <c r="W564" s="21">
        <f t="shared" si="94"/>
        <v>0</v>
      </c>
      <c r="X564" s="22">
        <f t="shared" si="92"/>
        <v>2863.75</v>
      </c>
      <c r="Y564" s="35">
        <f t="shared" si="93"/>
        <v>1</v>
      </c>
      <c r="Z564" s="20"/>
      <c r="AA564" s="11"/>
      <c r="AB564" s="20"/>
      <c r="AC564" s="24" t="s">
        <v>73</v>
      </c>
      <c r="AD564" s="10" t="s">
        <v>47</v>
      </c>
      <c r="AE564" s="10">
        <v>43449</v>
      </c>
      <c r="AF564" s="63"/>
      <c r="AG564" s="10">
        <v>43529</v>
      </c>
      <c r="AH564" s="25">
        <f t="shared" si="100"/>
        <v>80</v>
      </c>
      <c r="AK564" s="27"/>
    </row>
    <row r="565" spans="1:37" s="26" customFormat="1" ht="15" customHeight="1" x14ac:dyDescent="0.45">
      <c r="A565" s="28" t="s">
        <v>41</v>
      </c>
      <c r="B565" s="8" t="s">
        <v>336</v>
      </c>
      <c r="C565" s="28" t="s">
        <v>43</v>
      </c>
      <c r="D565" s="9"/>
      <c r="E565" s="9"/>
      <c r="F565" s="10"/>
      <c r="G565" s="11">
        <v>43554</v>
      </c>
      <c r="H565" s="51"/>
      <c r="I565" s="52"/>
      <c r="J565" s="51"/>
      <c r="K565" s="51"/>
      <c r="L565" s="9"/>
      <c r="M565" s="10" t="str">
        <f t="shared" si="89"/>
        <v>Mar-19</v>
      </c>
      <c r="N565" s="10" t="str">
        <f t="shared" si="98"/>
        <v>Jan-00</v>
      </c>
      <c r="O565" s="17" t="s">
        <v>1275</v>
      </c>
      <c r="P565" s="33" t="s">
        <v>638</v>
      </c>
      <c r="Q565" s="45">
        <v>1092.78</v>
      </c>
      <c r="R565" s="45"/>
      <c r="S565" s="45">
        <f t="shared" si="97"/>
        <v>1092.78</v>
      </c>
      <c r="T565" s="146">
        <f t="shared" si="99"/>
        <v>1202.058</v>
      </c>
      <c r="U565" s="65"/>
      <c r="V565" s="65"/>
      <c r="W565" s="21">
        <f t="shared" si="94"/>
        <v>0</v>
      </c>
      <c r="X565" s="22">
        <f t="shared" si="92"/>
        <v>1092.78</v>
      </c>
      <c r="Y565" s="35">
        <f t="shared" si="93"/>
        <v>1</v>
      </c>
      <c r="Z565" s="20"/>
      <c r="AA565" s="11"/>
      <c r="AB565" s="20"/>
      <c r="AC565" s="24" t="s">
        <v>73</v>
      </c>
      <c r="AD565" s="10" t="s">
        <v>47</v>
      </c>
      <c r="AE565" s="10">
        <v>43447</v>
      </c>
      <c r="AF565" s="63"/>
      <c r="AG565" s="10">
        <v>43529</v>
      </c>
      <c r="AH565" s="25">
        <f t="shared" si="100"/>
        <v>82</v>
      </c>
      <c r="AK565" s="27"/>
    </row>
    <row r="566" spans="1:37" s="26" customFormat="1" ht="15" customHeight="1" x14ac:dyDescent="0.45">
      <c r="A566" s="28" t="s">
        <v>41</v>
      </c>
      <c r="B566" s="8" t="s">
        <v>42</v>
      </c>
      <c r="C566" s="28" t="s">
        <v>43</v>
      </c>
      <c r="D566" s="9"/>
      <c r="E566" s="9"/>
      <c r="F566" s="10"/>
      <c r="G566" s="11">
        <v>43554</v>
      </c>
      <c r="H566" s="51"/>
      <c r="I566" s="52"/>
      <c r="J566" s="51"/>
      <c r="K566" s="51"/>
      <c r="L566" s="9"/>
      <c r="M566" s="10" t="str">
        <f t="shared" si="89"/>
        <v>Mar-19</v>
      </c>
      <c r="N566" s="10" t="str">
        <f t="shared" si="98"/>
        <v>Jan-00</v>
      </c>
      <c r="O566" s="17" t="s">
        <v>1276</v>
      </c>
      <c r="P566" s="33" t="s">
        <v>235</v>
      </c>
      <c r="Q566" s="45">
        <v>2028.08</v>
      </c>
      <c r="R566" s="45"/>
      <c r="S566" s="45">
        <f t="shared" si="97"/>
        <v>2028.08</v>
      </c>
      <c r="T566" s="146">
        <f t="shared" si="99"/>
        <v>2230.8879999999999</v>
      </c>
      <c r="U566" s="65"/>
      <c r="V566" s="65"/>
      <c r="W566" s="21">
        <f t="shared" si="94"/>
        <v>0</v>
      </c>
      <c r="X566" s="22">
        <f t="shared" si="92"/>
        <v>2028.08</v>
      </c>
      <c r="Y566" s="35">
        <f t="shared" si="93"/>
        <v>1</v>
      </c>
      <c r="Z566" s="20"/>
      <c r="AA566" s="11"/>
      <c r="AB566" s="20"/>
      <c r="AC566" s="24" t="s">
        <v>73</v>
      </c>
      <c r="AD566" s="10" t="s">
        <v>47</v>
      </c>
      <c r="AE566" s="10">
        <v>43447</v>
      </c>
      <c r="AF566" s="63"/>
      <c r="AG566" s="10">
        <v>43528</v>
      </c>
      <c r="AH566" s="25">
        <f t="shared" si="100"/>
        <v>81</v>
      </c>
      <c r="AK566" s="27"/>
    </row>
    <row r="567" spans="1:37" s="26" customFormat="1" ht="15" customHeight="1" x14ac:dyDescent="0.45">
      <c r="A567" s="28" t="s">
        <v>41</v>
      </c>
      <c r="B567" s="8" t="s">
        <v>297</v>
      </c>
      <c r="C567" s="8" t="s">
        <v>43</v>
      </c>
      <c r="D567" s="9" t="s">
        <v>1277</v>
      </c>
      <c r="E567" s="9">
        <v>43488</v>
      </c>
      <c r="F567" s="10">
        <v>43453</v>
      </c>
      <c r="G567" s="11">
        <v>43453</v>
      </c>
      <c r="H567" s="14">
        <v>43453</v>
      </c>
      <c r="I567" s="54">
        <v>43455</v>
      </c>
      <c r="J567" s="15">
        <v>43475</v>
      </c>
      <c r="K567" s="15">
        <v>43489</v>
      </c>
      <c r="L567" s="9"/>
      <c r="M567" s="10" t="str">
        <f t="shared" si="89"/>
        <v>Dec-18</v>
      </c>
      <c r="N567" s="10" t="str">
        <f t="shared" si="98"/>
        <v>Jan-19</v>
      </c>
      <c r="O567" s="17" t="s">
        <v>1278</v>
      </c>
      <c r="P567" s="33" t="s">
        <v>418</v>
      </c>
      <c r="Q567" s="45">
        <v>4713.07</v>
      </c>
      <c r="R567" s="45">
        <v>7330.69</v>
      </c>
      <c r="S567" s="45">
        <f t="shared" si="97"/>
        <v>12043.759999999998</v>
      </c>
      <c r="T567" s="146">
        <f t="shared" si="99"/>
        <v>13248.135999999999</v>
      </c>
      <c r="U567" s="65">
        <v>6070.1299999999992</v>
      </c>
      <c r="V567" s="65"/>
      <c r="W567" s="21">
        <f t="shared" si="94"/>
        <v>6070.1299999999992</v>
      </c>
      <c r="X567" s="22">
        <f t="shared" si="92"/>
        <v>5973.6299999999992</v>
      </c>
      <c r="Y567" s="35">
        <f t="shared" si="93"/>
        <v>0.49599377603007699</v>
      </c>
      <c r="Z567" s="20"/>
      <c r="AA567" s="11"/>
      <c r="AB567" s="20"/>
      <c r="AC567" s="24" t="s">
        <v>69</v>
      </c>
      <c r="AD567" s="10" t="s">
        <v>47</v>
      </c>
      <c r="AE567" s="10">
        <v>43412</v>
      </c>
      <c r="AF567" s="63"/>
      <c r="AG567" s="10">
        <v>43500</v>
      </c>
      <c r="AH567" s="25">
        <f t="shared" si="100"/>
        <v>88</v>
      </c>
      <c r="AK567" s="27"/>
    </row>
    <row r="568" spans="1:37" s="26" customFormat="1" ht="15" customHeight="1" x14ac:dyDescent="0.45">
      <c r="A568" s="28" t="s">
        <v>41</v>
      </c>
      <c r="B568" s="8" t="s">
        <v>129</v>
      </c>
      <c r="C568" s="8" t="s">
        <v>57</v>
      </c>
      <c r="D568" s="9"/>
      <c r="E568" s="9"/>
      <c r="F568" s="10"/>
      <c r="G568" s="11">
        <v>43524</v>
      </c>
      <c r="H568" s="51"/>
      <c r="I568" s="52"/>
      <c r="J568" s="51"/>
      <c r="K568" s="51"/>
      <c r="L568" s="9"/>
      <c r="M568" s="10" t="str">
        <f t="shared" si="89"/>
        <v>Feb-19</v>
      </c>
      <c r="N568" s="10" t="str">
        <f t="shared" si="98"/>
        <v>Jan-00</v>
      </c>
      <c r="O568" s="17" t="s">
        <v>1279</v>
      </c>
      <c r="P568" s="33" t="s">
        <v>1184</v>
      </c>
      <c r="Q568" s="45">
        <v>1592.08</v>
      </c>
      <c r="R568" s="45"/>
      <c r="S568" s="45">
        <f t="shared" si="97"/>
        <v>1592.08</v>
      </c>
      <c r="T568" s="146">
        <f t="shared" si="99"/>
        <v>1751.288</v>
      </c>
      <c r="U568" s="65"/>
      <c r="V568" s="65"/>
      <c r="W568" s="21">
        <f t="shared" si="94"/>
        <v>0</v>
      </c>
      <c r="X568" s="22">
        <f t="shared" si="92"/>
        <v>1592.08</v>
      </c>
      <c r="Y568" s="35">
        <f t="shared" si="93"/>
        <v>1</v>
      </c>
      <c r="Z568" s="20"/>
      <c r="AA568" s="11"/>
      <c r="AB568" s="20"/>
      <c r="AC568" s="24" t="s">
        <v>73</v>
      </c>
      <c r="AD568" s="10" t="s">
        <v>47</v>
      </c>
      <c r="AE568" s="10">
        <v>43452</v>
      </c>
      <c r="AF568" s="63"/>
      <c r="AG568" s="10">
        <v>43507</v>
      </c>
      <c r="AH568" s="25">
        <f t="shared" si="100"/>
        <v>55</v>
      </c>
      <c r="AK568" s="27"/>
    </row>
    <row r="569" spans="1:37" s="26" customFormat="1" ht="15" customHeight="1" x14ac:dyDescent="0.45">
      <c r="A569" s="28" t="s">
        <v>41</v>
      </c>
      <c r="B569" s="8" t="s">
        <v>42</v>
      </c>
      <c r="C569" s="28" t="s">
        <v>43</v>
      </c>
      <c r="D569" s="9"/>
      <c r="E569" s="9"/>
      <c r="F569" s="10"/>
      <c r="G569" s="11">
        <v>43585</v>
      </c>
      <c r="H569" s="51"/>
      <c r="I569" s="52"/>
      <c r="J569" s="51"/>
      <c r="K569" s="51"/>
      <c r="L569" s="9"/>
      <c r="M569" s="10" t="str">
        <f t="shared" si="89"/>
        <v>Apr-19</v>
      </c>
      <c r="N569" s="10" t="str">
        <f t="shared" si="98"/>
        <v>Jan-00</v>
      </c>
      <c r="O569" s="17" t="s">
        <v>1280</v>
      </c>
      <c r="P569" s="33" t="s">
        <v>1281</v>
      </c>
      <c r="Q569" s="45">
        <v>1115.5999999999999</v>
      </c>
      <c r="R569" s="45"/>
      <c r="S569" s="45">
        <f t="shared" si="97"/>
        <v>1115.5999999999999</v>
      </c>
      <c r="T569" s="146">
        <f t="shared" si="99"/>
        <v>1227.1600000000001</v>
      </c>
      <c r="U569" s="65"/>
      <c r="V569" s="65"/>
      <c r="W569" s="21">
        <f t="shared" si="94"/>
        <v>0</v>
      </c>
      <c r="X569" s="22">
        <f t="shared" si="92"/>
        <v>1115.5999999999999</v>
      </c>
      <c r="Y569" s="35">
        <f t="shared" si="93"/>
        <v>1</v>
      </c>
      <c r="Z569" s="20"/>
      <c r="AA569" s="11"/>
      <c r="AB569" s="20"/>
      <c r="AC569" s="24" t="s">
        <v>73</v>
      </c>
      <c r="AD569" s="10" t="s">
        <v>47</v>
      </c>
      <c r="AE569" s="10">
        <v>43453</v>
      </c>
      <c r="AF569" s="63"/>
      <c r="AG569" s="10">
        <v>43537</v>
      </c>
      <c r="AH569" s="25">
        <f t="shared" si="100"/>
        <v>84</v>
      </c>
      <c r="AK569" s="27"/>
    </row>
    <row r="570" spans="1:37" s="26" customFormat="1" ht="15" customHeight="1" x14ac:dyDescent="0.45">
      <c r="A570" s="28" t="s">
        <v>41</v>
      </c>
      <c r="B570" s="8" t="s">
        <v>146</v>
      </c>
      <c r="C570" s="8" t="s">
        <v>36</v>
      </c>
      <c r="D570" s="9"/>
      <c r="E570" s="9"/>
      <c r="F570" s="10"/>
      <c r="G570" s="11">
        <v>43585</v>
      </c>
      <c r="H570" s="51"/>
      <c r="I570" s="52"/>
      <c r="J570" s="51"/>
      <c r="K570" s="51"/>
      <c r="L570" s="9"/>
      <c r="M570" s="10" t="str">
        <f t="shared" si="89"/>
        <v>Apr-19</v>
      </c>
      <c r="N570" s="10" t="str">
        <f t="shared" si="98"/>
        <v>Jan-00</v>
      </c>
      <c r="O570" s="17" t="s">
        <v>1282</v>
      </c>
      <c r="P570" s="33" t="s">
        <v>1283</v>
      </c>
      <c r="Q570" s="45">
        <v>2082.54</v>
      </c>
      <c r="R570" s="45"/>
      <c r="S570" s="45">
        <f t="shared" si="97"/>
        <v>2082.54</v>
      </c>
      <c r="T570" s="146">
        <f t="shared" si="99"/>
        <v>2290.7940000000003</v>
      </c>
      <c r="U570" s="65"/>
      <c r="V570" s="65"/>
      <c r="W570" s="21">
        <f t="shared" si="94"/>
        <v>0</v>
      </c>
      <c r="X570" s="22">
        <f t="shared" si="92"/>
        <v>2082.54</v>
      </c>
      <c r="Y570" s="35">
        <f t="shared" si="93"/>
        <v>1</v>
      </c>
      <c r="Z570" s="20"/>
      <c r="AA570" s="11"/>
      <c r="AB570" s="20"/>
      <c r="AC570" s="24" t="s">
        <v>73</v>
      </c>
      <c r="AD570" s="10" t="s">
        <v>47</v>
      </c>
      <c r="AE570" s="10">
        <v>43453</v>
      </c>
      <c r="AF570" s="63"/>
      <c r="AG570" s="10">
        <v>43536</v>
      </c>
      <c r="AH570" s="25">
        <f t="shared" si="100"/>
        <v>83</v>
      </c>
      <c r="AK570" s="27"/>
    </row>
    <row r="571" spans="1:37" s="26" customFormat="1" ht="15" customHeight="1" x14ac:dyDescent="0.45">
      <c r="A571" s="28" t="s">
        <v>805</v>
      </c>
      <c r="B571" s="8" t="s">
        <v>336</v>
      </c>
      <c r="C571" s="8" t="s">
        <v>36</v>
      </c>
      <c r="D571" s="9"/>
      <c r="E571" s="9"/>
      <c r="F571" s="10"/>
      <c r="G571" s="11">
        <v>43554</v>
      </c>
      <c r="H571" s="51"/>
      <c r="I571" s="52"/>
      <c r="J571" s="51"/>
      <c r="K571" s="51"/>
      <c r="L571" s="9"/>
      <c r="M571" s="10" t="str">
        <f t="shared" si="89"/>
        <v>Mar-19</v>
      </c>
      <c r="N571" s="10" t="str">
        <f t="shared" si="98"/>
        <v>Jan-00</v>
      </c>
      <c r="O571" s="50" t="s">
        <v>1284</v>
      </c>
      <c r="P571" s="50" t="s">
        <v>346</v>
      </c>
      <c r="Q571" s="45">
        <v>21515.279999999999</v>
      </c>
      <c r="R571" s="45"/>
      <c r="S571" s="45">
        <f t="shared" si="97"/>
        <v>21515.279999999999</v>
      </c>
      <c r="T571" s="146">
        <f t="shared" si="99"/>
        <v>23666.808000000001</v>
      </c>
      <c r="U571" s="65"/>
      <c r="V571" s="65"/>
      <c r="W571" s="21">
        <f t="shared" si="94"/>
        <v>0</v>
      </c>
      <c r="X571" s="22">
        <f t="shared" si="92"/>
        <v>21515.279999999999</v>
      </c>
      <c r="Y571" s="35">
        <f t="shared" si="93"/>
        <v>1</v>
      </c>
      <c r="Z571" s="20"/>
      <c r="AA571" s="11"/>
      <c r="AB571" s="20"/>
      <c r="AC571" s="24" t="s">
        <v>69</v>
      </c>
      <c r="AD571" s="10">
        <v>43441</v>
      </c>
      <c r="AE571" s="10">
        <v>43454</v>
      </c>
      <c r="AF571" s="63"/>
      <c r="AG571" s="10">
        <v>43530</v>
      </c>
      <c r="AH571" s="25">
        <f t="shared" si="100"/>
        <v>76</v>
      </c>
      <c r="AK571" s="27"/>
    </row>
    <row r="572" spans="1:37" s="26" customFormat="1" ht="15" customHeight="1" x14ac:dyDescent="0.45">
      <c r="A572" s="28" t="s">
        <v>1127</v>
      </c>
      <c r="B572" s="8" t="s">
        <v>357</v>
      </c>
      <c r="C572" s="8" t="s">
        <v>378</v>
      </c>
      <c r="D572" s="9"/>
      <c r="E572" s="9"/>
      <c r="F572" s="10">
        <v>43502</v>
      </c>
      <c r="G572" s="11">
        <v>43148</v>
      </c>
      <c r="H572" s="14">
        <v>43513</v>
      </c>
      <c r="I572" s="54">
        <v>43521</v>
      </c>
      <c r="J572" s="77">
        <v>43528</v>
      </c>
      <c r="K572" s="51">
        <f>J572+14</f>
        <v>43542</v>
      </c>
      <c r="L572" s="9"/>
      <c r="M572" s="10" t="str">
        <f t="shared" si="89"/>
        <v>Feb-18</v>
      </c>
      <c r="N572" s="10" t="str">
        <f t="shared" si="98"/>
        <v>Mar-19</v>
      </c>
      <c r="O572" s="143" t="s">
        <v>1285</v>
      </c>
      <c r="P572" s="144" t="s">
        <v>899</v>
      </c>
      <c r="Q572" s="45">
        <v>5381</v>
      </c>
      <c r="R572" s="45">
        <v>2540</v>
      </c>
      <c r="S572" s="45">
        <f t="shared" si="97"/>
        <v>7921</v>
      </c>
      <c r="T572" s="146">
        <f t="shared" si="99"/>
        <v>8713.1</v>
      </c>
      <c r="U572" s="65">
        <v>1358.5</v>
      </c>
      <c r="V572" s="65"/>
      <c r="W572" s="21">
        <f t="shared" si="94"/>
        <v>1358.5</v>
      </c>
      <c r="X572" s="22">
        <f t="shared" si="92"/>
        <v>6562.5</v>
      </c>
      <c r="Y572" s="35">
        <f t="shared" si="93"/>
        <v>0.82849387703572785</v>
      </c>
      <c r="Z572" s="20"/>
      <c r="AA572" s="11"/>
      <c r="AB572" s="20"/>
      <c r="AC572" s="24" t="s">
        <v>1130</v>
      </c>
      <c r="AD572" s="10">
        <v>43451</v>
      </c>
      <c r="AE572" s="10">
        <v>43467</v>
      </c>
      <c r="AF572" s="63"/>
      <c r="AG572" s="10">
        <v>43479</v>
      </c>
      <c r="AH572" s="25">
        <f t="shared" si="100"/>
        <v>12</v>
      </c>
      <c r="AK572" s="27"/>
    </row>
    <row r="573" spans="1:37" s="26" customFormat="1" ht="15" customHeight="1" x14ac:dyDescent="0.45">
      <c r="A573" s="28" t="s">
        <v>41</v>
      </c>
      <c r="B573" s="8" t="s">
        <v>56</v>
      </c>
      <c r="C573" s="8" t="s">
        <v>57</v>
      </c>
      <c r="D573" s="9"/>
      <c r="E573" s="9"/>
      <c r="F573" s="10"/>
      <c r="G573" s="11">
        <v>43585</v>
      </c>
      <c r="H573" s="51"/>
      <c r="I573" s="52"/>
      <c r="J573" s="51"/>
      <c r="K573" s="51"/>
      <c r="L573" s="9"/>
      <c r="M573" s="10" t="str">
        <f t="shared" si="89"/>
        <v>Apr-19</v>
      </c>
      <c r="N573" s="10" t="str">
        <f t="shared" si="98"/>
        <v>Jan-00</v>
      </c>
      <c r="O573" s="17" t="s">
        <v>1286</v>
      </c>
      <c r="P573" s="33" t="s">
        <v>486</v>
      </c>
      <c r="Q573" s="45">
        <v>1655.36</v>
      </c>
      <c r="R573" s="45"/>
      <c r="S573" s="45">
        <f t="shared" ref="S573:S607" si="101">SUM(Q573:R573)</f>
        <v>1655.36</v>
      </c>
      <c r="T573" s="146">
        <f t="shared" si="99"/>
        <v>1820.896</v>
      </c>
      <c r="U573" s="65"/>
      <c r="V573" s="65"/>
      <c r="W573" s="21">
        <f t="shared" si="94"/>
        <v>0</v>
      </c>
      <c r="X573" s="22">
        <f t="shared" si="92"/>
        <v>1655.36</v>
      </c>
      <c r="Y573" s="35">
        <f t="shared" si="93"/>
        <v>1</v>
      </c>
      <c r="Z573" s="20"/>
      <c r="AA573" s="11"/>
      <c r="AB573" s="20"/>
      <c r="AC573" s="24" t="s">
        <v>73</v>
      </c>
      <c r="AD573" s="10" t="s">
        <v>47</v>
      </c>
      <c r="AE573" s="10">
        <v>43469</v>
      </c>
      <c r="AF573" s="63"/>
      <c r="AG573" s="10">
        <v>43525</v>
      </c>
      <c r="AH573" s="25">
        <f t="shared" si="100"/>
        <v>56</v>
      </c>
      <c r="AK573" s="27"/>
    </row>
    <row r="574" spans="1:37" s="26" customFormat="1" ht="15" customHeight="1" x14ac:dyDescent="0.45">
      <c r="A574" s="8" t="s">
        <v>34</v>
      </c>
      <c r="B574" s="8" t="s">
        <v>56</v>
      </c>
      <c r="C574" s="8" t="s">
        <v>57</v>
      </c>
      <c r="D574" s="9"/>
      <c r="E574" s="9"/>
      <c r="F574" s="10"/>
      <c r="G574" s="11">
        <v>43554</v>
      </c>
      <c r="H574" s="51"/>
      <c r="I574" s="52"/>
      <c r="J574" s="51"/>
      <c r="K574" s="51"/>
      <c r="L574" s="9"/>
      <c r="M574" s="10" t="str">
        <f t="shared" si="89"/>
        <v>Mar-19</v>
      </c>
      <c r="N574" s="10" t="str">
        <f t="shared" si="98"/>
        <v>Jan-00</v>
      </c>
      <c r="O574" s="17" t="s">
        <v>1287</v>
      </c>
      <c r="P574" s="33" t="s">
        <v>1288</v>
      </c>
      <c r="Q574" s="45">
        <v>13650.26</v>
      </c>
      <c r="R574" s="45"/>
      <c r="S574" s="45">
        <f t="shared" si="101"/>
        <v>13650.26</v>
      </c>
      <c r="T574" s="146">
        <f t="shared" si="99"/>
        <v>15015.286000000002</v>
      </c>
      <c r="U574" s="65">
        <v>4831.84</v>
      </c>
      <c r="V574" s="65"/>
      <c r="W574" s="21">
        <f t="shared" si="94"/>
        <v>4831.84</v>
      </c>
      <c r="X574" s="22">
        <f t="shared" si="92"/>
        <v>8818.42</v>
      </c>
      <c r="Y574" s="35">
        <f t="shared" si="93"/>
        <v>0.64602578998495264</v>
      </c>
      <c r="Z574" s="20"/>
      <c r="AA574" s="11"/>
      <c r="AB574" s="20"/>
      <c r="AC574" s="24" t="s">
        <v>73</v>
      </c>
      <c r="AD574" s="10">
        <v>43452</v>
      </c>
      <c r="AE574" s="10">
        <v>43468</v>
      </c>
      <c r="AF574" s="63">
        <f>AE574-AD574</f>
        <v>16</v>
      </c>
      <c r="AG574" s="10">
        <v>43530</v>
      </c>
      <c r="AH574" s="25">
        <f t="shared" si="100"/>
        <v>62</v>
      </c>
      <c r="AK574" s="27"/>
    </row>
    <row r="575" spans="1:37" s="26" customFormat="1" ht="15" customHeight="1" x14ac:dyDescent="0.45">
      <c r="A575" s="28" t="s">
        <v>1127</v>
      </c>
      <c r="B575" s="8" t="s">
        <v>357</v>
      </c>
      <c r="C575" s="8" t="s">
        <v>378</v>
      </c>
      <c r="D575" s="9"/>
      <c r="E575" s="9"/>
      <c r="F575" s="10">
        <v>43501</v>
      </c>
      <c r="G575" s="11">
        <v>43148</v>
      </c>
      <c r="H575" s="14">
        <v>43513</v>
      </c>
      <c r="I575" s="54">
        <v>43521</v>
      </c>
      <c r="J575" s="51">
        <f>G575+14</f>
        <v>43162</v>
      </c>
      <c r="K575" s="51">
        <f>J575+14</f>
        <v>43176</v>
      </c>
      <c r="L575" s="9"/>
      <c r="M575" s="10" t="str">
        <f t="shared" si="89"/>
        <v>Feb-18</v>
      </c>
      <c r="N575" s="10" t="str">
        <f t="shared" si="98"/>
        <v>Mar-18</v>
      </c>
      <c r="O575" s="143" t="s">
        <v>1289</v>
      </c>
      <c r="P575" s="144" t="s">
        <v>899</v>
      </c>
      <c r="Q575" s="45">
        <v>13451</v>
      </c>
      <c r="R575" s="45">
        <v>15603</v>
      </c>
      <c r="S575" s="45">
        <f t="shared" si="101"/>
        <v>29054</v>
      </c>
      <c r="T575" s="146">
        <f t="shared" si="99"/>
        <v>31959.4</v>
      </c>
      <c r="U575" s="65">
        <v>8930</v>
      </c>
      <c r="V575" s="65"/>
      <c r="W575" s="21">
        <f t="shared" si="94"/>
        <v>8930</v>
      </c>
      <c r="X575" s="22">
        <f t="shared" si="92"/>
        <v>20124</v>
      </c>
      <c r="Y575" s="35">
        <f t="shared" si="93"/>
        <v>0.69264128863495555</v>
      </c>
      <c r="Z575" s="20"/>
      <c r="AA575" s="11"/>
      <c r="AB575" s="20"/>
      <c r="AC575" s="24" t="s">
        <v>1130</v>
      </c>
      <c r="AD575" s="10">
        <v>43451</v>
      </c>
      <c r="AE575" s="10">
        <v>43467</v>
      </c>
      <c r="AF575" s="63">
        <f>AE575-AD575</f>
        <v>16</v>
      </c>
      <c r="AG575" s="10">
        <v>43479</v>
      </c>
      <c r="AH575" s="25">
        <f t="shared" si="100"/>
        <v>12</v>
      </c>
      <c r="AK575" s="27"/>
    </row>
    <row r="576" spans="1:37" s="26" customFormat="1" ht="15" customHeight="1" x14ac:dyDescent="0.45">
      <c r="A576" s="28" t="s">
        <v>1127</v>
      </c>
      <c r="B576" s="8" t="s">
        <v>357</v>
      </c>
      <c r="C576" s="8" t="s">
        <v>378</v>
      </c>
      <c r="D576" s="9"/>
      <c r="E576" s="9"/>
      <c r="F576" s="10">
        <v>43501</v>
      </c>
      <c r="G576" s="11">
        <v>43148</v>
      </c>
      <c r="H576" s="14">
        <v>43513</v>
      </c>
      <c r="I576" s="54">
        <v>43522</v>
      </c>
      <c r="J576" s="14">
        <f>G576+14</f>
        <v>43162</v>
      </c>
      <c r="K576" s="51">
        <f>J576+14</f>
        <v>43176</v>
      </c>
      <c r="L576" s="9"/>
      <c r="M576" s="10" t="str">
        <f t="shared" si="89"/>
        <v>Feb-18</v>
      </c>
      <c r="N576" s="10" t="str">
        <f t="shared" si="98"/>
        <v>Mar-18</v>
      </c>
      <c r="O576" s="143" t="s">
        <v>1290</v>
      </c>
      <c r="P576" s="144" t="s">
        <v>899</v>
      </c>
      <c r="Q576" s="45">
        <v>10430</v>
      </c>
      <c r="R576" s="45">
        <v>12967</v>
      </c>
      <c r="S576" s="45">
        <f t="shared" si="101"/>
        <v>23397</v>
      </c>
      <c r="T576" s="146">
        <f t="shared" si="99"/>
        <v>25736.7</v>
      </c>
      <c r="U576" s="65">
        <v>6663.5</v>
      </c>
      <c r="V576" s="65"/>
      <c r="W576" s="21">
        <f t="shared" si="94"/>
        <v>6663.5</v>
      </c>
      <c r="X576" s="22">
        <f t="shared" si="92"/>
        <v>16733.5</v>
      </c>
      <c r="Y576" s="35">
        <f t="shared" si="93"/>
        <v>0.71519852972603326</v>
      </c>
      <c r="Z576" s="20"/>
      <c r="AA576" s="11"/>
      <c r="AB576" s="20"/>
      <c r="AC576" s="24" t="s">
        <v>1130</v>
      </c>
      <c r="AD576" s="10">
        <v>43451</v>
      </c>
      <c r="AE576" s="10">
        <v>43467</v>
      </c>
      <c r="AF576" s="63">
        <f>AE576-AD576</f>
        <v>16</v>
      </c>
      <c r="AG576" s="10">
        <v>43479</v>
      </c>
      <c r="AH576" s="25">
        <f t="shared" si="100"/>
        <v>12</v>
      </c>
      <c r="AK576" s="27"/>
    </row>
    <row r="577" spans="1:37" s="26" customFormat="1" ht="15" customHeight="1" x14ac:dyDescent="0.45">
      <c r="A577" s="28" t="s">
        <v>41</v>
      </c>
      <c r="B577" s="8" t="s">
        <v>146</v>
      </c>
      <c r="C577" s="8" t="s">
        <v>36</v>
      </c>
      <c r="D577" s="9"/>
      <c r="E577" s="9"/>
      <c r="F577" s="10">
        <v>43521</v>
      </c>
      <c r="G577" s="10">
        <v>43521</v>
      </c>
      <c r="H577" s="10">
        <v>43521</v>
      </c>
      <c r="I577" s="52"/>
      <c r="J577" s="14">
        <f>G577+14</f>
        <v>43535</v>
      </c>
      <c r="K577" s="51">
        <f>J577+14</f>
        <v>43549</v>
      </c>
      <c r="L577" s="9"/>
      <c r="M577" s="10" t="str">
        <f t="shared" si="89"/>
        <v>Feb-19</v>
      </c>
      <c r="N577" s="10" t="str">
        <f t="shared" si="98"/>
        <v>Mar-19</v>
      </c>
      <c r="O577" s="17" t="s">
        <v>1291</v>
      </c>
      <c r="P577" s="33" t="s">
        <v>1292</v>
      </c>
      <c r="Q577" s="45">
        <v>1545.49</v>
      </c>
      <c r="R577" s="45">
        <v>131.63799999999992</v>
      </c>
      <c r="S577" s="45">
        <f t="shared" si="101"/>
        <v>1677.1279999999999</v>
      </c>
      <c r="T577" s="146">
        <f t="shared" si="99"/>
        <v>1844.8408000000002</v>
      </c>
      <c r="U577" s="65"/>
      <c r="V577" s="65"/>
      <c r="W577" s="21">
        <f t="shared" si="94"/>
        <v>0</v>
      </c>
      <c r="X577" s="22">
        <f t="shared" si="92"/>
        <v>1677.1279999999999</v>
      </c>
      <c r="Y577" s="35">
        <f t="shared" si="93"/>
        <v>1</v>
      </c>
      <c r="Z577" s="20"/>
      <c r="AA577" s="11"/>
      <c r="AB577" s="20"/>
      <c r="AC577" s="24" t="s">
        <v>73</v>
      </c>
      <c r="AD577" s="10" t="s">
        <v>47</v>
      </c>
      <c r="AE577" s="10">
        <v>43467</v>
      </c>
      <c r="AF577" s="63"/>
      <c r="AG577" s="10">
        <v>43537</v>
      </c>
      <c r="AH577" s="25">
        <f t="shared" si="100"/>
        <v>70</v>
      </c>
      <c r="AK577" s="27"/>
    </row>
    <row r="578" spans="1:37" s="26" customFormat="1" ht="15" customHeight="1" x14ac:dyDescent="0.45">
      <c r="A578" s="28" t="s">
        <v>41</v>
      </c>
      <c r="B578" s="8" t="s">
        <v>100</v>
      </c>
      <c r="C578" s="8" t="s">
        <v>57</v>
      </c>
      <c r="D578" s="9" t="s">
        <v>1293</v>
      </c>
      <c r="E578" s="9">
        <v>43523</v>
      </c>
      <c r="F578" s="10">
        <v>43486</v>
      </c>
      <c r="G578" s="10">
        <v>43486</v>
      </c>
      <c r="H578" s="14">
        <v>43486</v>
      </c>
      <c r="I578" s="54">
        <v>43494</v>
      </c>
      <c r="J578" s="14">
        <f>G578+14</f>
        <v>43500</v>
      </c>
      <c r="K578" s="15">
        <v>43524</v>
      </c>
      <c r="L578" s="9"/>
      <c r="M578" s="10" t="str">
        <f t="shared" ref="M578:M641" si="102">TEXT(G578,"mmm-yy")</f>
        <v>Jan-19</v>
      </c>
      <c r="N578" s="10" t="str">
        <f t="shared" si="98"/>
        <v>Feb-19</v>
      </c>
      <c r="O578" s="17" t="s">
        <v>1294</v>
      </c>
      <c r="P578" s="33" t="s">
        <v>1143</v>
      </c>
      <c r="Q578" s="45">
        <v>1069.03</v>
      </c>
      <c r="R578" s="45">
        <v>1341.3889999999999</v>
      </c>
      <c r="S578" s="45">
        <f t="shared" si="101"/>
        <v>2410.4189999999999</v>
      </c>
      <c r="T578" s="146">
        <f t="shared" si="99"/>
        <v>2651.4609</v>
      </c>
      <c r="U578" s="65"/>
      <c r="V578" s="65"/>
      <c r="W578" s="21">
        <f t="shared" si="94"/>
        <v>0</v>
      </c>
      <c r="X578" s="22">
        <f t="shared" ref="X578:X641" si="103">S578-W578</f>
        <v>2410.4189999999999</v>
      </c>
      <c r="Y578" s="35">
        <f t="shared" ref="Y578:Y641" si="104">X578/S578</f>
        <v>1</v>
      </c>
      <c r="Z578" s="20"/>
      <c r="AA578" s="11"/>
      <c r="AB578" s="20"/>
      <c r="AC578" s="24" t="s">
        <v>73</v>
      </c>
      <c r="AD578" s="10" t="s">
        <v>47</v>
      </c>
      <c r="AE578" s="10">
        <v>43467</v>
      </c>
      <c r="AF578" s="63"/>
      <c r="AG578" s="10">
        <v>43537</v>
      </c>
      <c r="AH578" s="25">
        <f t="shared" si="100"/>
        <v>70</v>
      </c>
      <c r="AK578" s="27"/>
    </row>
    <row r="579" spans="1:37" s="26" customFormat="1" ht="15" customHeight="1" x14ac:dyDescent="0.45">
      <c r="A579" s="28" t="s">
        <v>41</v>
      </c>
      <c r="B579" s="8" t="s">
        <v>42</v>
      </c>
      <c r="C579" s="28" t="s">
        <v>43</v>
      </c>
      <c r="D579" s="9"/>
      <c r="E579" s="9"/>
      <c r="F579" s="10"/>
      <c r="G579" s="11">
        <v>43554</v>
      </c>
      <c r="H579" s="51"/>
      <c r="I579" s="52"/>
      <c r="J579" s="51"/>
      <c r="K579" s="51"/>
      <c r="L579" s="9"/>
      <c r="M579" s="10" t="str">
        <f t="shared" si="102"/>
        <v>Mar-19</v>
      </c>
      <c r="N579" s="10" t="str">
        <f t="shared" si="98"/>
        <v>Jan-00</v>
      </c>
      <c r="O579" s="17" t="s">
        <v>1295</v>
      </c>
      <c r="P579" s="33" t="s">
        <v>235</v>
      </c>
      <c r="Q579" s="45">
        <v>540.67999999999995</v>
      </c>
      <c r="R579" s="45"/>
      <c r="S579" s="45">
        <f t="shared" si="101"/>
        <v>540.67999999999995</v>
      </c>
      <c r="T579" s="146">
        <f t="shared" si="99"/>
        <v>594.74800000000005</v>
      </c>
      <c r="U579" s="65"/>
      <c r="V579" s="65"/>
      <c r="W579" s="21">
        <f t="shared" si="94"/>
        <v>0</v>
      </c>
      <c r="X579" s="22">
        <f t="shared" si="103"/>
        <v>540.67999999999995</v>
      </c>
      <c r="Y579" s="35">
        <f t="shared" si="104"/>
        <v>1</v>
      </c>
      <c r="Z579" s="20"/>
      <c r="AA579" s="11"/>
      <c r="AB579" s="20"/>
      <c r="AC579" s="24" t="s">
        <v>73</v>
      </c>
      <c r="AD579" s="10" t="s">
        <v>47</v>
      </c>
      <c r="AE579" s="10">
        <v>43467</v>
      </c>
      <c r="AF579" s="63"/>
      <c r="AG579" s="10">
        <v>43536</v>
      </c>
      <c r="AH579" s="25">
        <f t="shared" si="100"/>
        <v>69</v>
      </c>
      <c r="AK579" s="27"/>
    </row>
    <row r="580" spans="1:37" s="26" customFormat="1" ht="15" customHeight="1" x14ac:dyDescent="0.45">
      <c r="A580" s="8" t="s">
        <v>34</v>
      </c>
      <c r="B580" s="8" t="s">
        <v>357</v>
      </c>
      <c r="C580" s="8" t="s">
        <v>57</v>
      </c>
      <c r="D580" s="9"/>
      <c r="E580" s="9"/>
      <c r="F580" s="10">
        <v>43535</v>
      </c>
      <c r="G580" s="11">
        <v>43535</v>
      </c>
      <c r="H580" s="51">
        <v>43535</v>
      </c>
      <c r="I580" s="52"/>
      <c r="J580" s="51">
        <f>G580+14</f>
        <v>43549</v>
      </c>
      <c r="K580" s="51">
        <f>J580+14</f>
        <v>43563</v>
      </c>
      <c r="L580" s="9"/>
      <c r="M580" s="10" t="str">
        <f t="shared" si="102"/>
        <v>Mar-19</v>
      </c>
      <c r="N580" s="10" t="str">
        <f t="shared" si="98"/>
        <v>Apr-19</v>
      </c>
      <c r="O580" s="50" t="s">
        <v>1296</v>
      </c>
      <c r="P580" s="50" t="s">
        <v>1297</v>
      </c>
      <c r="Q580" s="45">
        <v>19923.240000000002</v>
      </c>
      <c r="R580" s="45">
        <v>9901.464299999996</v>
      </c>
      <c r="S580" s="45">
        <f t="shared" si="101"/>
        <v>29824.704299999998</v>
      </c>
      <c r="T580" s="146">
        <f t="shared" si="99"/>
        <v>32807.174729999999</v>
      </c>
      <c r="U580" s="65">
        <v>18001.95</v>
      </c>
      <c r="V580" s="65"/>
      <c r="W580" s="78">
        <f t="shared" si="94"/>
        <v>18001.95</v>
      </c>
      <c r="X580" s="79">
        <f t="shared" si="103"/>
        <v>11822.754299999997</v>
      </c>
      <c r="Y580" s="80">
        <f t="shared" si="104"/>
        <v>0.39640809783317776</v>
      </c>
      <c r="Z580" s="20"/>
      <c r="AA580" s="11"/>
      <c r="AB580" s="20"/>
      <c r="AC580" s="24" t="s">
        <v>69</v>
      </c>
      <c r="AD580" s="10">
        <v>43431</v>
      </c>
      <c r="AE580" s="86"/>
      <c r="AF580" s="147"/>
      <c r="AG580" s="86"/>
      <c r="AH580" s="148">
        <f t="shared" si="100"/>
        <v>0</v>
      </c>
      <c r="AJ580" s="26" t="s">
        <v>1298</v>
      </c>
      <c r="AK580" s="27"/>
    </row>
    <row r="581" spans="1:37" s="26" customFormat="1" ht="15" customHeight="1" x14ac:dyDescent="0.45">
      <c r="A581" s="28" t="s">
        <v>41</v>
      </c>
      <c r="B581" s="8" t="s">
        <v>100</v>
      </c>
      <c r="C581" s="8" t="s">
        <v>57</v>
      </c>
      <c r="D581" s="9" t="s">
        <v>1299</v>
      </c>
      <c r="E581" s="9">
        <v>43523</v>
      </c>
      <c r="F581" s="10">
        <v>43486</v>
      </c>
      <c r="G581" s="10">
        <v>43486</v>
      </c>
      <c r="H581" s="67"/>
      <c r="I581" s="68"/>
      <c r="J581" s="14">
        <f>G581+14</f>
        <v>43500</v>
      </c>
      <c r="K581" s="15">
        <v>43522</v>
      </c>
      <c r="L581" s="9"/>
      <c r="M581" s="10" t="str">
        <f t="shared" si="102"/>
        <v>Jan-19</v>
      </c>
      <c r="N581" s="10" t="str">
        <f t="shared" si="98"/>
        <v>Feb-19</v>
      </c>
      <c r="O581" s="17" t="s">
        <v>1300</v>
      </c>
      <c r="P581" s="33" t="s">
        <v>1301</v>
      </c>
      <c r="Q581" s="45">
        <v>398.02</v>
      </c>
      <c r="R581" s="73"/>
      <c r="S581" s="45">
        <f t="shared" si="101"/>
        <v>398.02</v>
      </c>
      <c r="T581" s="146">
        <f t="shared" si="99"/>
        <v>437.822</v>
      </c>
      <c r="U581" s="65"/>
      <c r="V581" s="65"/>
      <c r="W581" s="21">
        <f t="shared" ref="W581:W608" si="105">SUM(U581:V581)</f>
        <v>0</v>
      </c>
      <c r="X581" s="22">
        <f t="shared" si="103"/>
        <v>398.02</v>
      </c>
      <c r="Y581" s="35">
        <f t="shared" si="104"/>
        <v>1</v>
      </c>
      <c r="Z581" s="20"/>
      <c r="AA581" s="11"/>
      <c r="AB581" s="20"/>
      <c r="AC581" s="24" t="s">
        <v>73</v>
      </c>
      <c r="AD581" s="10" t="s">
        <v>47</v>
      </c>
      <c r="AE581" s="10">
        <v>43455</v>
      </c>
      <c r="AF581" s="63"/>
      <c r="AG581" s="10">
        <v>43476</v>
      </c>
      <c r="AH581" s="25">
        <f t="shared" si="100"/>
        <v>21</v>
      </c>
      <c r="AK581" s="27"/>
    </row>
    <row r="582" spans="1:37" s="26" customFormat="1" ht="15" customHeight="1" x14ac:dyDescent="0.45">
      <c r="A582" s="28" t="s">
        <v>1127</v>
      </c>
      <c r="B582" s="8" t="s">
        <v>42</v>
      </c>
      <c r="C582" s="28" t="s">
        <v>378</v>
      </c>
      <c r="D582" s="9"/>
      <c r="E582" s="9"/>
      <c r="F582" s="10">
        <v>43502</v>
      </c>
      <c r="G582" s="11">
        <v>43148</v>
      </c>
      <c r="H582" s="14">
        <v>43513</v>
      </c>
      <c r="I582" s="54">
        <v>43521</v>
      </c>
      <c r="J582" s="14">
        <f>G582+14</f>
        <v>43162</v>
      </c>
      <c r="K582" s="51">
        <f>J582+14</f>
        <v>43176</v>
      </c>
      <c r="L582" s="9"/>
      <c r="M582" s="10" t="str">
        <f t="shared" si="102"/>
        <v>Feb-18</v>
      </c>
      <c r="N582" s="10" t="str">
        <f t="shared" si="98"/>
        <v>Mar-18</v>
      </c>
      <c r="O582" s="143" t="s">
        <v>1302</v>
      </c>
      <c r="P582" s="144" t="s">
        <v>581</v>
      </c>
      <c r="Q582" s="45">
        <v>11702</v>
      </c>
      <c r="R582" s="45">
        <v>-795</v>
      </c>
      <c r="S582" s="45">
        <f t="shared" si="101"/>
        <v>10907</v>
      </c>
      <c r="T582" s="146">
        <f t="shared" si="99"/>
        <v>11997.7</v>
      </c>
      <c r="U582" s="65"/>
      <c r="V582" s="65"/>
      <c r="W582" s="21">
        <f t="shared" si="105"/>
        <v>0</v>
      </c>
      <c r="X582" s="22">
        <f t="shared" si="103"/>
        <v>10907</v>
      </c>
      <c r="Y582" s="35">
        <f t="shared" si="104"/>
        <v>1</v>
      </c>
      <c r="Z582" s="20"/>
      <c r="AA582" s="11"/>
      <c r="AB582" s="20"/>
      <c r="AC582" s="24" t="s">
        <v>1130</v>
      </c>
      <c r="AD582" s="10">
        <v>43451</v>
      </c>
      <c r="AE582" s="10">
        <v>43455</v>
      </c>
      <c r="AF582" s="63">
        <f>AE582-AD582</f>
        <v>4</v>
      </c>
      <c r="AG582" s="10">
        <v>43487</v>
      </c>
      <c r="AH582" s="25">
        <f t="shared" si="100"/>
        <v>32</v>
      </c>
      <c r="AK582" s="27"/>
    </row>
    <row r="583" spans="1:37" s="26" customFormat="1" ht="15" customHeight="1" x14ac:dyDescent="0.45">
      <c r="A583" s="28" t="s">
        <v>1127</v>
      </c>
      <c r="B583" s="8" t="s">
        <v>373</v>
      </c>
      <c r="C583" s="28" t="s">
        <v>378</v>
      </c>
      <c r="D583" s="9"/>
      <c r="E583" s="9"/>
      <c r="F583" s="10">
        <v>43502</v>
      </c>
      <c r="G583" s="11">
        <v>43524</v>
      </c>
      <c r="H583" s="51"/>
      <c r="I583" s="52"/>
      <c r="J583" s="51"/>
      <c r="K583" s="51"/>
      <c r="L583" s="9"/>
      <c r="M583" s="10" t="str">
        <f t="shared" si="102"/>
        <v>Feb-19</v>
      </c>
      <c r="N583" s="10" t="str">
        <f t="shared" si="98"/>
        <v>Jan-00</v>
      </c>
      <c r="O583" s="149" t="s">
        <v>1303</v>
      </c>
      <c r="P583" s="144" t="s">
        <v>877</v>
      </c>
      <c r="Q583" s="45">
        <v>6017</v>
      </c>
      <c r="R583" s="45"/>
      <c r="S583" s="45">
        <f t="shared" ref="S583:S585" si="106">SUM(Q583:R583)</f>
        <v>6017</v>
      </c>
      <c r="T583" s="146">
        <f t="shared" si="99"/>
        <v>6618.7000000000007</v>
      </c>
      <c r="U583" s="65">
        <v>995</v>
      </c>
      <c r="V583" s="65"/>
      <c r="W583" s="21">
        <f t="shared" ref="W583:W585" si="107">SUM(U583:V583)</f>
        <v>995</v>
      </c>
      <c r="X583" s="22">
        <f t="shared" si="103"/>
        <v>5022</v>
      </c>
      <c r="Y583" s="35">
        <f t="shared" si="104"/>
        <v>0.8346352002659132</v>
      </c>
      <c r="Z583" s="20"/>
      <c r="AA583" s="11"/>
      <c r="AB583" s="20"/>
      <c r="AC583" s="24" t="s">
        <v>1130</v>
      </c>
      <c r="AD583" s="10">
        <v>43474</v>
      </c>
      <c r="AE583" s="10"/>
      <c r="AF583" s="63"/>
      <c r="AG583" s="10"/>
      <c r="AH583" s="25"/>
      <c r="AK583" s="27"/>
    </row>
    <row r="584" spans="1:37" s="26" customFormat="1" ht="15" customHeight="1" x14ac:dyDescent="0.45">
      <c r="A584" s="28" t="s">
        <v>1127</v>
      </c>
      <c r="B584" s="8" t="s">
        <v>373</v>
      </c>
      <c r="C584" s="28" t="s">
        <v>378</v>
      </c>
      <c r="D584" s="9"/>
      <c r="E584" s="9"/>
      <c r="F584" s="10">
        <v>43502</v>
      </c>
      <c r="G584" s="11">
        <v>43524</v>
      </c>
      <c r="H584" s="51"/>
      <c r="I584" s="52"/>
      <c r="J584" s="51"/>
      <c r="K584" s="51"/>
      <c r="L584" s="9"/>
      <c r="M584" s="10" t="str">
        <f t="shared" si="102"/>
        <v>Feb-19</v>
      </c>
      <c r="N584" s="10" t="str">
        <f t="shared" si="98"/>
        <v>Jan-00</v>
      </c>
      <c r="O584" s="149" t="s">
        <v>1304</v>
      </c>
      <c r="P584" s="144" t="s">
        <v>877</v>
      </c>
      <c r="Q584" s="45">
        <v>4586</v>
      </c>
      <c r="R584" s="45"/>
      <c r="S584" s="45">
        <f t="shared" si="106"/>
        <v>4586</v>
      </c>
      <c r="T584" s="146">
        <f t="shared" si="99"/>
        <v>5044.6000000000004</v>
      </c>
      <c r="U584" s="65">
        <v>260</v>
      </c>
      <c r="V584" s="65"/>
      <c r="W584" s="21">
        <f t="shared" si="107"/>
        <v>260</v>
      </c>
      <c r="X584" s="22">
        <f t="shared" si="103"/>
        <v>4326</v>
      </c>
      <c r="Y584" s="35">
        <f t="shared" si="104"/>
        <v>0.94330571303968602</v>
      </c>
      <c r="Z584" s="20"/>
      <c r="AA584" s="11"/>
      <c r="AB584" s="20"/>
      <c r="AC584" s="24" t="s">
        <v>1130</v>
      </c>
      <c r="AD584" s="10">
        <v>43474</v>
      </c>
      <c r="AE584" s="10"/>
      <c r="AF584" s="63"/>
      <c r="AG584" s="10"/>
      <c r="AH584" s="25"/>
      <c r="AK584" s="27"/>
    </row>
    <row r="585" spans="1:37" s="26" customFormat="1" ht="15" customHeight="1" x14ac:dyDescent="0.45">
      <c r="A585" s="28" t="s">
        <v>1127</v>
      </c>
      <c r="B585" s="8" t="s">
        <v>373</v>
      </c>
      <c r="C585" s="28" t="s">
        <v>378</v>
      </c>
      <c r="D585" s="9"/>
      <c r="E585" s="9"/>
      <c r="F585" s="10">
        <v>43502</v>
      </c>
      <c r="G585" s="11">
        <v>43524</v>
      </c>
      <c r="H585" s="51"/>
      <c r="I585" s="52"/>
      <c r="J585" s="51"/>
      <c r="K585" s="51"/>
      <c r="L585" s="9"/>
      <c r="M585" s="10" t="str">
        <f t="shared" si="102"/>
        <v>Feb-19</v>
      </c>
      <c r="N585" s="10" t="str">
        <f t="shared" si="98"/>
        <v>Jan-00</v>
      </c>
      <c r="O585" s="143" t="s">
        <v>1305</v>
      </c>
      <c r="P585" s="144" t="s">
        <v>877</v>
      </c>
      <c r="Q585" s="45">
        <v>25694</v>
      </c>
      <c r="R585" s="45"/>
      <c r="S585" s="45">
        <f t="shared" si="106"/>
        <v>25694</v>
      </c>
      <c r="T585" s="146">
        <f t="shared" si="99"/>
        <v>28263.4</v>
      </c>
      <c r="U585" s="65">
        <v>7540</v>
      </c>
      <c r="V585" s="65"/>
      <c r="W585" s="21">
        <f t="shared" si="107"/>
        <v>7540</v>
      </c>
      <c r="X585" s="22">
        <f t="shared" si="103"/>
        <v>18154</v>
      </c>
      <c r="Y585" s="35">
        <f t="shared" si="104"/>
        <v>0.7065462753950339</v>
      </c>
      <c r="Z585" s="20"/>
      <c r="AA585" s="11"/>
      <c r="AB585" s="20"/>
      <c r="AC585" s="24" t="s">
        <v>1130</v>
      </c>
      <c r="AD585" s="10">
        <v>43474</v>
      </c>
      <c r="AE585" s="10"/>
      <c r="AF585" s="63"/>
      <c r="AG585" s="10"/>
      <c r="AH585" s="25"/>
      <c r="AK585" s="27"/>
    </row>
    <row r="586" spans="1:37" s="26" customFormat="1" ht="15" customHeight="1" x14ac:dyDescent="0.45">
      <c r="A586" s="28" t="s">
        <v>41</v>
      </c>
      <c r="B586" s="8" t="s">
        <v>357</v>
      </c>
      <c r="C586" s="8" t="s">
        <v>57</v>
      </c>
      <c r="D586" s="9"/>
      <c r="E586" s="9"/>
      <c r="F586" s="10">
        <v>43494</v>
      </c>
      <c r="G586" s="11">
        <v>43494</v>
      </c>
      <c r="H586" s="51"/>
      <c r="I586" s="52"/>
      <c r="J586" s="51">
        <f>G586+14</f>
        <v>43508</v>
      </c>
      <c r="K586" s="51">
        <f>J586+14</f>
        <v>43522</v>
      </c>
      <c r="L586" s="9"/>
      <c r="M586" s="10" t="str">
        <f t="shared" si="102"/>
        <v>Jan-19</v>
      </c>
      <c r="N586" s="10" t="str">
        <f t="shared" si="98"/>
        <v>Feb-19</v>
      </c>
      <c r="O586" s="17" t="s">
        <v>1306</v>
      </c>
      <c r="P586" s="17" t="s">
        <v>1256</v>
      </c>
      <c r="Q586" s="45">
        <v>5787.21</v>
      </c>
      <c r="R586" s="45">
        <v>709.33</v>
      </c>
      <c r="S586" s="45">
        <f t="shared" si="101"/>
        <v>6496.54</v>
      </c>
      <c r="T586" s="146">
        <f t="shared" si="99"/>
        <v>7146.1940000000004</v>
      </c>
      <c r="U586" s="65"/>
      <c r="V586" s="65"/>
      <c r="W586" s="21">
        <f t="shared" si="105"/>
        <v>0</v>
      </c>
      <c r="X586" s="22">
        <f t="shared" si="103"/>
        <v>6496.54</v>
      </c>
      <c r="Y586" s="35">
        <f t="shared" si="104"/>
        <v>1</v>
      </c>
      <c r="Z586" s="20"/>
      <c r="AA586" s="11"/>
      <c r="AB586" s="20"/>
      <c r="AC586" s="24" t="s">
        <v>73</v>
      </c>
      <c r="AD586" s="10" t="s">
        <v>47</v>
      </c>
      <c r="AE586" s="10">
        <v>43458</v>
      </c>
      <c r="AF586" s="63"/>
      <c r="AG586" s="10">
        <v>43536</v>
      </c>
      <c r="AH586" s="25">
        <f t="shared" si="100"/>
        <v>78</v>
      </c>
      <c r="AK586" s="27"/>
    </row>
    <row r="587" spans="1:37" s="26" customFormat="1" ht="15" customHeight="1" x14ac:dyDescent="0.45">
      <c r="A587" s="28" t="s">
        <v>41</v>
      </c>
      <c r="B587" s="8" t="s">
        <v>42</v>
      </c>
      <c r="C587" s="28" t="s">
        <v>43</v>
      </c>
      <c r="D587" s="9"/>
      <c r="E587" s="9"/>
      <c r="F587" s="10"/>
      <c r="G587" s="11">
        <v>43585</v>
      </c>
      <c r="H587" s="51"/>
      <c r="I587" s="52"/>
      <c r="J587" s="51"/>
      <c r="K587" s="51"/>
      <c r="L587" s="9"/>
      <c r="M587" s="10" t="str">
        <f t="shared" si="102"/>
        <v>Apr-19</v>
      </c>
      <c r="N587" s="10" t="str">
        <f t="shared" si="98"/>
        <v>Jan-00</v>
      </c>
      <c r="O587" s="17" t="s">
        <v>1307</v>
      </c>
      <c r="P587" s="17" t="s">
        <v>1308</v>
      </c>
      <c r="Q587" s="45">
        <v>1956.37</v>
      </c>
      <c r="R587" s="45"/>
      <c r="S587" s="45">
        <f t="shared" si="101"/>
        <v>1956.37</v>
      </c>
      <c r="T587" s="146">
        <f t="shared" si="99"/>
        <v>2152.0070000000001</v>
      </c>
      <c r="U587" s="65"/>
      <c r="V587" s="65"/>
      <c r="W587" s="21">
        <f t="shared" si="105"/>
        <v>0</v>
      </c>
      <c r="X587" s="22">
        <f t="shared" si="103"/>
        <v>1956.37</v>
      </c>
      <c r="Y587" s="35">
        <f t="shared" si="104"/>
        <v>1</v>
      </c>
      <c r="Z587" s="20"/>
      <c r="AA587" s="11"/>
      <c r="AB587" s="20"/>
      <c r="AC587" s="24" t="s">
        <v>73</v>
      </c>
      <c r="AD587" s="10" t="s">
        <v>47</v>
      </c>
      <c r="AE587" s="10">
        <v>43458</v>
      </c>
      <c r="AF587" s="63"/>
      <c r="AG587" s="10">
        <v>43536</v>
      </c>
      <c r="AH587" s="25">
        <f t="shared" si="100"/>
        <v>78</v>
      </c>
      <c r="AK587" s="27"/>
    </row>
    <row r="588" spans="1:37" s="26" customFormat="1" ht="15" customHeight="1" x14ac:dyDescent="0.45">
      <c r="A588" s="28" t="s">
        <v>41</v>
      </c>
      <c r="B588" s="8" t="s">
        <v>42</v>
      </c>
      <c r="C588" s="28" t="s">
        <v>43</v>
      </c>
      <c r="D588" s="9"/>
      <c r="E588" s="9"/>
      <c r="F588" s="10"/>
      <c r="G588" s="11">
        <v>43220</v>
      </c>
      <c r="H588" s="51"/>
      <c r="I588" s="52"/>
      <c r="J588" s="51"/>
      <c r="K588" s="51"/>
      <c r="L588" s="9"/>
      <c r="M588" s="10" t="str">
        <f t="shared" si="102"/>
        <v>Apr-18</v>
      </c>
      <c r="N588" s="10" t="str">
        <f t="shared" si="98"/>
        <v>Jan-00</v>
      </c>
      <c r="O588" s="17" t="s">
        <v>1309</v>
      </c>
      <c r="P588" s="17" t="s">
        <v>45</v>
      </c>
      <c r="Q588" s="45">
        <v>1949.48</v>
      </c>
      <c r="R588" s="45"/>
      <c r="S588" s="45">
        <f t="shared" si="101"/>
        <v>1949.48</v>
      </c>
      <c r="T588" s="146">
        <f t="shared" si="99"/>
        <v>2144.4280000000003</v>
      </c>
      <c r="U588" s="65"/>
      <c r="V588" s="65"/>
      <c r="W588" s="21">
        <f t="shared" si="105"/>
        <v>0</v>
      </c>
      <c r="X588" s="22">
        <f t="shared" si="103"/>
        <v>1949.48</v>
      </c>
      <c r="Y588" s="35">
        <f t="shared" si="104"/>
        <v>1</v>
      </c>
      <c r="Z588" s="20"/>
      <c r="AA588" s="11"/>
      <c r="AB588" s="20"/>
      <c r="AC588" s="24" t="s">
        <v>73</v>
      </c>
      <c r="AD588" s="10" t="s">
        <v>47</v>
      </c>
      <c r="AE588" s="10">
        <v>43458</v>
      </c>
      <c r="AF588" s="63"/>
      <c r="AG588" s="10">
        <v>43536</v>
      </c>
      <c r="AH588" s="25">
        <f t="shared" si="100"/>
        <v>78</v>
      </c>
      <c r="AK588" s="27"/>
    </row>
    <row r="589" spans="1:37" s="26" customFormat="1" ht="15" customHeight="1" x14ac:dyDescent="0.45">
      <c r="A589" s="28" t="s">
        <v>41</v>
      </c>
      <c r="B589" s="8" t="s">
        <v>146</v>
      </c>
      <c r="C589" s="8" t="s">
        <v>36</v>
      </c>
      <c r="D589" s="9"/>
      <c r="E589" s="9"/>
      <c r="F589" s="10"/>
      <c r="G589" s="11">
        <v>43585</v>
      </c>
      <c r="H589" s="51"/>
      <c r="I589" s="52"/>
      <c r="J589" s="51"/>
      <c r="K589" s="51"/>
      <c r="L589" s="9"/>
      <c r="M589" s="10" t="str">
        <f t="shared" si="102"/>
        <v>Apr-19</v>
      </c>
      <c r="N589" s="10" t="str">
        <f t="shared" si="98"/>
        <v>Jan-00</v>
      </c>
      <c r="O589" s="17" t="s">
        <v>1310</v>
      </c>
      <c r="P589" s="17" t="s">
        <v>1311</v>
      </c>
      <c r="Q589" s="45">
        <v>1746.76</v>
      </c>
      <c r="R589" s="45"/>
      <c r="S589" s="45">
        <f t="shared" si="101"/>
        <v>1746.76</v>
      </c>
      <c r="T589" s="146">
        <f t="shared" si="99"/>
        <v>1921.4360000000001</v>
      </c>
      <c r="U589" s="65"/>
      <c r="V589" s="65"/>
      <c r="W589" s="21">
        <f t="shared" si="105"/>
        <v>0</v>
      </c>
      <c r="X589" s="22">
        <f t="shared" si="103"/>
        <v>1746.76</v>
      </c>
      <c r="Y589" s="35">
        <f t="shared" si="104"/>
        <v>1</v>
      </c>
      <c r="Z589" s="20"/>
      <c r="AA589" s="11"/>
      <c r="AB589" s="20"/>
      <c r="AC589" s="24" t="s">
        <v>73</v>
      </c>
      <c r="AD589" s="10" t="s">
        <v>47</v>
      </c>
      <c r="AE589" s="10">
        <v>43472</v>
      </c>
      <c r="AF589" s="63"/>
      <c r="AG589" s="10">
        <v>43551</v>
      </c>
      <c r="AH589" s="25">
        <f t="shared" si="100"/>
        <v>79</v>
      </c>
      <c r="AK589" s="27"/>
    </row>
    <row r="590" spans="1:37" s="26" customFormat="1" ht="15" customHeight="1" x14ac:dyDescent="0.45">
      <c r="A590" s="28" t="s">
        <v>41</v>
      </c>
      <c r="B590" s="8" t="s">
        <v>739</v>
      </c>
      <c r="C590" s="28" t="s">
        <v>43</v>
      </c>
      <c r="D590" s="9"/>
      <c r="E590" s="9"/>
      <c r="F590" s="10"/>
      <c r="G590" s="11">
        <v>43585</v>
      </c>
      <c r="H590" s="51"/>
      <c r="I590" s="52"/>
      <c r="J590" s="51"/>
      <c r="K590" s="51"/>
      <c r="L590" s="9"/>
      <c r="M590" s="10" t="str">
        <f t="shared" si="102"/>
        <v>Apr-19</v>
      </c>
      <c r="N590" s="10" t="str">
        <f t="shared" si="98"/>
        <v>Jan-00</v>
      </c>
      <c r="O590" s="17" t="s">
        <v>1312</v>
      </c>
      <c r="P590" s="17" t="s">
        <v>757</v>
      </c>
      <c r="Q590" s="45">
        <v>1752.98</v>
      </c>
      <c r="R590" s="45"/>
      <c r="S590" s="45">
        <f t="shared" si="101"/>
        <v>1752.98</v>
      </c>
      <c r="T590" s="146">
        <f t="shared" si="99"/>
        <v>1928.2780000000002</v>
      </c>
      <c r="U590" s="65"/>
      <c r="V590" s="65"/>
      <c r="W590" s="21">
        <f t="shared" si="105"/>
        <v>0</v>
      </c>
      <c r="X590" s="22">
        <f t="shared" si="103"/>
        <v>1752.98</v>
      </c>
      <c r="Y590" s="35">
        <f t="shared" si="104"/>
        <v>1</v>
      </c>
      <c r="Z590" s="20"/>
      <c r="AA590" s="11"/>
      <c r="AB590" s="20"/>
      <c r="AC590" s="24" t="s">
        <v>73</v>
      </c>
      <c r="AD590" s="10" t="s">
        <v>47</v>
      </c>
      <c r="AE590" s="10">
        <v>43472</v>
      </c>
      <c r="AF590" s="63"/>
      <c r="AG590" s="10">
        <v>43551</v>
      </c>
      <c r="AH590" s="25">
        <f t="shared" si="100"/>
        <v>79</v>
      </c>
      <c r="AK590" s="27"/>
    </row>
    <row r="591" spans="1:37" s="26" customFormat="1" ht="15" customHeight="1" x14ac:dyDescent="0.45">
      <c r="A591" s="28" t="s">
        <v>41</v>
      </c>
      <c r="B591" s="8" t="s">
        <v>42</v>
      </c>
      <c r="C591" s="28" t="s">
        <v>43</v>
      </c>
      <c r="D591" s="9"/>
      <c r="E591" s="9"/>
      <c r="F591" s="10"/>
      <c r="G591" s="11">
        <v>43585</v>
      </c>
      <c r="H591" s="51"/>
      <c r="I591" s="52"/>
      <c r="J591" s="51"/>
      <c r="K591" s="51"/>
      <c r="L591" s="9"/>
      <c r="M591" s="10" t="str">
        <f t="shared" si="102"/>
        <v>Apr-19</v>
      </c>
      <c r="N591" s="10" t="str">
        <f t="shared" si="98"/>
        <v>Jan-00</v>
      </c>
      <c r="O591" s="17" t="s">
        <v>1313</v>
      </c>
      <c r="P591" s="17" t="s">
        <v>1314</v>
      </c>
      <c r="Q591" s="45">
        <v>1715.62</v>
      </c>
      <c r="R591" s="45"/>
      <c r="S591" s="45">
        <f t="shared" si="101"/>
        <v>1715.62</v>
      </c>
      <c r="T591" s="146">
        <f t="shared" si="99"/>
        <v>1887.182</v>
      </c>
      <c r="U591" s="65"/>
      <c r="V591" s="65"/>
      <c r="W591" s="21">
        <f t="shared" si="105"/>
        <v>0</v>
      </c>
      <c r="X591" s="22">
        <f t="shared" si="103"/>
        <v>1715.62</v>
      </c>
      <c r="Y591" s="35">
        <f t="shared" si="104"/>
        <v>1</v>
      </c>
      <c r="Z591" s="20"/>
      <c r="AA591" s="11"/>
      <c r="AB591" s="20"/>
      <c r="AC591" s="24" t="s">
        <v>73</v>
      </c>
      <c r="AD591" s="10" t="s">
        <v>47</v>
      </c>
      <c r="AE591" s="10">
        <v>43472</v>
      </c>
      <c r="AF591" s="63"/>
      <c r="AG591" s="10">
        <v>43551</v>
      </c>
      <c r="AH591" s="25">
        <f t="shared" si="100"/>
        <v>79</v>
      </c>
      <c r="AK591" s="27"/>
    </row>
    <row r="592" spans="1:37" s="26" customFormat="1" ht="15" customHeight="1" x14ac:dyDescent="0.45">
      <c r="A592" s="28" t="s">
        <v>41</v>
      </c>
      <c r="B592" s="8" t="s">
        <v>357</v>
      </c>
      <c r="C592" s="8" t="s">
        <v>57</v>
      </c>
      <c r="D592" s="9"/>
      <c r="E592" s="9"/>
      <c r="F592" s="10">
        <v>43532</v>
      </c>
      <c r="G592" s="11">
        <v>43532</v>
      </c>
      <c r="H592" s="51">
        <v>43532</v>
      </c>
      <c r="I592" s="52"/>
      <c r="J592" s="51">
        <f>G592+14</f>
        <v>43546</v>
      </c>
      <c r="K592" s="51">
        <f>J592+14</f>
        <v>43560</v>
      </c>
      <c r="L592" s="9"/>
      <c r="M592" s="10" t="str">
        <f t="shared" si="102"/>
        <v>Mar-19</v>
      </c>
      <c r="N592" s="10" t="str">
        <f t="shared" si="98"/>
        <v>Apr-19</v>
      </c>
      <c r="O592" s="17" t="s">
        <v>1315</v>
      </c>
      <c r="P592" s="17" t="s">
        <v>1038</v>
      </c>
      <c r="Q592" s="45">
        <v>1514.73</v>
      </c>
      <c r="R592" s="45">
        <v>2375.21</v>
      </c>
      <c r="S592" s="45">
        <f t="shared" si="101"/>
        <v>3889.94</v>
      </c>
      <c r="T592" s="146">
        <f t="shared" si="99"/>
        <v>4278.9340000000002</v>
      </c>
      <c r="U592" s="65"/>
      <c r="V592" s="65"/>
      <c r="W592" s="21">
        <f t="shared" si="105"/>
        <v>0</v>
      </c>
      <c r="X592" s="22">
        <f t="shared" si="103"/>
        <v>3889.94</v>
      </c>
      <c r="Y592" s="35">
        <f t="shared" si="104"/>
        <v>1</v>
      </c>
      <c r="Z592" s="20"/>
      <c r="AA592" s="11"/>
      <c r="AB592" s="20"/>
      <c r="AC592" s="24" t="s">
        <v>73</v>
      </c>
      <c r="AD592" s="10" t="s">
        <v>47</v>
      </c>
      <c r="AE592" s="10">
        <v>43473</v>
      </c>
      <c r="AF592" s="63"/>
      <c r="AG592" s="10">
        <v>43551</v>
      </c>
      <c r="AH592" s="25">
        <f t="shared" si="100"/>
        <v>78</v>
      </c>
      <c r="AK592" s="27"/>
    </row>
    <row r="593" spans="1:37" s="26" customFormat="1" ht="15" customHeight="1" x14ac:dyDescent="0.45">
      <c r="A593" s="28" t="s">
        <v>41</v>
      </c>
      <c r="B593" s="8" t="s">
        <v>56</v>
      </c>
      <c r="C593" s="8" t="s">
        <v>57</v>
      </c>
      <c r="D593" s="9"/>
      <c r="E593" s="9"/>
      <c r="F593" s="10"/>
      <c r="G593" s="11">
        <v>43585</v>
      </c>
      <c r="H593" s="51"/>
      <c r="I593" s="52"/>
      <c r="J593" s="51"/>
      <c r="K593" s="51"/>
      <c r="L593" s="9"/>
      <c r="M593" s="10" t="str">
        <f t="shared" si="102"/>
        <v>Apr-19</v>
      </c>
      <c r="N593" s="10" t="str">
        <f t="shared" si="98"/>
        <v>Jan-00</v>
      </c>
      <c r="O593" s="17" t="s">
        <v>1316</v>
      </c>
      <c r="P593" s="17" t="s">
        <v>486</v>
      </c>
      <c r="Q593" s="45">
        <v>1174.26</v>
      </c>
      <c r="R593" s="45"/>
      <c r="S593" s="45">
        <f t="shared" si="101"/>
        <v>1174.26</v>
      </c>
      <c r="T593" s="146">
        <f t="shared" si="99"/>
        <v>1291.6860000000001</v>
      </c>
      <c r="U593" s="65"/>
      <c r="V593" s="65"/>
      <c r="W593" s="21">
        <f t="shared" si="105"/>
        <v>0</v>
      </c>
      <c r="X593" s="22">
        <f t="shared" si="103"/>
        <v>1174.26</v>
      </c>
      <c r="Y593" s="35">
        <f t="shared" si="104"/>
        <v>1</v>
      </c>
      <c r="Z593" s="20"/>
      <c r="AA593" s="11"/>
      <c r="AB593" s="20"/>
      <c r="AC593" s="24" t="s">
        <v>73</v>
      </c>
      <c r="AD593" s="10" t="s">
        <v>47</v>
      </c>
      <c r="AE593" s="10">
        <v>43473</v>
      </c>
      <c r="AF593" s="63"/>
      <c r="AG593" s="10">
        <v>43552</v>
      </c>
      <c r="AH593" s="25">
        <f t="shared" si="100"/>
        <v>79</v>
      </c>
      <c r="AK593" s="27"/>
    </row>
    <row r="594" spans="1:37" s="26" customFormat="1" ht="15" customHeight="1" x14ac:dyDescent="0.45">
      <c r="A594" s="28" t="s">
        <v>41</v>
      </c>
      <c r="B594" s="8" t="s">
        <v>42</v>
      </c>
      <c r="C594" s="28" t="s">
        <v>43</v>
      </c>
      <c r="D594" s="9"/>
      <c r="E594" s="9"/>
      <c r="F594" s="10"/>
      <c r="G594" s="11">
        <v>43585</v>
      </c>
      <c r="H594" s="51"/>
      <c r="I594" s="52"/>
      <c r="J594" s="51"/>
      <c r="K594" s="51"/>
      <c r="L594" s="9"/>
      <c r="M594" s="10" t="str">
        <f t="shared" si="102"/>
        <v>Apr-19</v>
      </c>
      <c r="N594" s="10" t="str">
        <f t="shared" si="98"/>
        <v>Jan-00</v>
      </c>
      <c r="O594" s="17" t="s">
        <v>1317</v>
      </c>
      <c r="P594" s="17" t="s">
        <v>72</v>
      </c>
      <c r="Q594" s="45">
        <v>811.16</v>
      </c>
      <c r="R594" s="45"/>
      <c r="S594" s="45">
        <f t="shared" si="101"/>
        <v>811.16</v>
      </c>
      <c r="T594" s="146">
        <f t="shared" si="99"/>
        <v>892.27600000000007</v>
      </c>
      <c r="U594" s="65"/>
      <c r="V594" s="65"/>
      <c r="W594" s="21">
        <f t="shared" si="105"/>
        <v>0</v>
      </c>
      <c r="X594" s="22">
        <f t="shared" si="103"/>
        <v>811.16</v>
      </c>
      <c r="Y594" s="35">
        <f t="shared" si="104"/>
        <v>1</v>
      </c>
      <c r="Z594" s="20"/>
      <c r="AA594" s="11"/>
      <c r="AB594" s="20"/>
      <c r="AC594" s="24" t="s">
        <v>73</v>
      </c>
      <c r="AD594" s="10" t="s">
        <v>47</v>
      </c>
      <c r="AE594" s="10">
        <v>43473</v>
      </c>
      <c r="AF594" s="63"/>
      <c r="AG594" s="10">
        <v>43551</v>
      </c>
      <c r="AH594" s="25">
        <f t="shared" si="100"/>
        <v>78</v>
      </c>
      <c r="AK594" s="27"/>
    </row>
    <row r="595" spans="1:37" s="26" customFormat="1" ht="15" customHeight="1" x14ac:dyDescent="0.45">
      <c r="A595" s="8" t="s">
        <v>774</v>
      </c>
      <c r="B595" s="8" t="s">
        <v>42</v>
      </c>
      <c r="C595" s="8" t="s">
        <v>36</v>
      </c>
      <c r="D595" s="9"/>
      <c r="E595" s="9"/>
      <c r="F595" s="10"/>
      <c r="G595" s="11">
        <v>43585</v>
      </c>
      <c r="H595" s="51"/>
      <c r="I595" s="52"/>
      <c r="J595" s="51"/>
      <c r="K595" s="51"/>
      <c r="L595" s="9"/>
      <c r="M595" s="10" t="str">
        <f t="shared" si="102"/>
        <v>Apr-19</v>
      </c>
      <c r="N595" s="10" t="str">
        <f t="shared" si="98"/>
        <v>Jan-00</v>
      </c>
      <c r="O595" s="113" t="s">
        <v>1318</v>
      </c>
      <c r="P595" s="114" t="s">
        <v>1319</v>
      </c>
      <c r="Q595" s="45">
        <f>92878.38-Q596</f>
        <v>65014.866000000009</v>
      </c>
      <c r="R595" s="45"/>
      <c r="S595" s="45">
        <f t="shared" si="101"/>
        <v>65014.866000000009</v>
      </c>
      <c r="T595" s="146">
        <f t="shared" si="99"/>
        <v>71516.352600000013</v>
      </c>
      <c r="U595" s="65">
        <v>47610.9</v>
      </c>
      <c r="V595" s="65"/>
      <c r="W595" s="21">
        <v>33072.800000000003</v>
      </c>
      <c r="X595" s="22">
        <f t="shared" si="103"/>
        <v>31942.066000000006</v>
      </c>
      <c r="Y595" s="35">
        <f t="shared" si="104"/>
        <v>0.49130403498793646</v>
      </c>
      <c r="Z595" s="20"/>
      <c r="AA595" s="11"/>
      <c r="AB595" s="20"/>
      <c r="AC595" s="24" t="s">
        <v>69</v>
      </c>
      <c r="AD595" s="10" t="s">
        <v>47</v>
      </c>
      <c r="AE595" s="10">
        <v>43476</v>
      </c>
      <c r="AF595" s="63"/>
      <c r="AG595" s="10">
        <v>43555</v>
      </c>
      <c r="AH595" s="25">
        <f t="shared" si="100"/>
        <v>79</v>
      </c>
      <c r="AK595" s="27"/>
    </row>
    <row r="596" spans="1:37" s="26" customFormat="1" ht="15" customHeight="1" x14ac:dyDescent="0.45">
      <c r="A596" s="8" t="s">
        <v>546</v>
      </c>
      <c r="B596" s="8" t="s">
        <v>35</v>
      </c>
      <c r="C596" s="8" t="s">
        <v>51</v>
      </c>
      <c r="D596" s="9" t="s">
        <v>1320</v>
      </c>
      <c r="E596" s="9">
        <v>43483</v>
      </c>
      <c r="F596" s="10">
        <v>43479</v>
      </c>
      <c r="G596" s="10">
        <v>43479</v>
      </c>
      <c r="H596" s="67"/>
      <c r="I596" s="68"/>
      <c r="J596" s="67"/>
      <c r="K596" s="14">
        <v>43482</v>
      </c>
      <c r="L596" s="9"/>
      <c r="M596" s="10" t="str">
        <f t="shared" si="102"/>
        <v>Jan-19</v>
      </c>
      <c r="N596" s="10" t="str">
        <f t="shared" si="98"/>
        <v>Jan-19</v>
      </c>
      <c r="O596" s="113" t="s">
        <v>1318</v>
      </c>
      <c r="P596" s="114" t="s">
        <v>1319</v>
      </c>
      <c r="Q596" s="45">
        <f>92878.38*0.3</f>
        <v>27863.513999999999</v>
      </c>
      <c r="R596" s="73"/>
      <c r="S596" s="45">
        <f t="shared" si="101"/>
        <v>27863.513999999999</v>
      </c>
      <c r="T596" s="146">
        <f t="shared" si="99"/>
        <v>30649.865400000002</v>
      </c>
      <c r="U596" s="100"/>
      <c r="V596" s="100"/>
      <c r="W596" s="21">
        <f t="shared" si="105"/>
        <v>0</v>
      </c>
      <c r="X596" s="22">
        <f t="shared" si="103"/>
        <v>27863.513999999999</v>
      </c>
      <c r="Y596" s="35">
        <f t="shared" si="104"/>
        <v>1</v>
      </c>
      <c r="Z596" s="24" t="s">
        <v>69</v>
      </c>
      <c r="AA596" s="10" t="s">
        <v>47</v>
      </c>
      <c r="AB596" s="10">
        <v>43476</v>
      </c>
      <c r="AC596" s="24" t="s">
        <v>69</v>
      </c>
      <c r="AD596" s="10" t="s">
        <v>47</v>
      </c>
      <c r="AE596" s="10">
        <v>43476</v>
      </c>
      <c r="AF596" s="63"/>
      <c r="AG596" s="10">
        <v>43555</v>
      </c>
      <c r="AH596" s="25">
        <f t="shared" si="100"/>
        <v>79</v>
      </c>
      <c r="AK596" s="27"/>
    </row>
    <row r="597" spans="1:37" s="26" customFormat="1" ht="15" customHeight="1" x14ac:dyDescent="0.45">
      <c r="A597" s="28" t="s">
        <v>41</v>
      </c>
      <c r="B597" s="8" t="s">
        <v>65</v>
      </c>
      <c r="C597" s="8" t="s">
        <v>57</v>
      </c>
      <c r="D597" s="9" t="s">
        <v>1321</v>
      </c>
      <c r="E597" s="9">
        <v>43523</v>
      </c>
      <c r="F597" s="10">
        <v>43488</v>
      </c>
      <c r="G597" s="11">
        <v>43488</v>
      </c>
      <c r="H597" s="67"/>
      <c r="I597" s="68"/>
      <c r="J597" s="14">
        <f>G597+14</f>
        <v>43502</v>
      </c>
      <c r="K597" s="14">
        <v>43522</v>
      </c>
      <c r="L597" s="9"/>
      <c r="M597" s="10" t="str">
        <f t="shared" si="102"/>
        <v>Jan-19</v>
      </c>
      <c r="N597" s="10" t="str">
        <f t="shared" si="98"/>
        <v>Feb-19</v>
      </c>
      <c r="O597" s="17" t="s">
        <v>1322</v>
      </c>
      <c r="P597" s="17" t="s">
        <v>699</v>
      </c>
      <c r="Q597" s="45">
        <v>3730.72</v>
      </c>
      <c r="R597" s="73"/>
      <c r="S597" s="45">
        <f t="shared" si="101"/>
        <v>3730.72</v>
      </c>
      <c r="T597" s="146">
        <f t="shared" si="99"/>
        <v>4103.7920000000004</v>
      </c>
      <c r="U597" s="65"/>
      <c r="V597" s="65"/>
      <c r="W597" s="21">
        <f t="shared" si="105"/>
        <v>0</v>
      </c>
      <c r="X597" s="22">
        <f t="shared" si="103"/>
        <v>3730.72</v>
      </c>
      <c r="Y597" s="35">
        <f t="shared" si="104"/>
        <v>1</v>
      </c>
      <c r="Z597" s="20"/>
      <c r="AA597" s="11"/>
      <c r="AB597" s="20"/>
      <c r="AC597" s="24" t="s">
        <v>73</v>
      </c>
      <c r="AD597" s="10">
        <v>43472</v>
      </c>
      <c r="AE597" s="10">
        <v>43480</v>
      </c>
      <c r="AF597" s="63"/>
      <c r="AG597" s="10">
        <v>43537</v>
      </c>
      <c r="AH597" s="25">
        <f t="shared" si="100"/>
        <v>57</v>
      </c>
      <c r="AK597" s="27"/>
    </row>
    <row r="598" spans="1:37" s="26" customFormat="1" ht="15" customHeight="1" x14ac:dyDescent="0.45">
      <c r="A598" s="28" t="s">
        <v>41</v>
      </c>
      <c r="B598" s="8" t="s">
        <v>42</v>
      </c>
      <c r="C598" s="28" t="s">
        <v>43</v>
      </c>
      <c r="D598" s="9"/>
      <c r="E598" s="9"/>
      <c r="F598" s="10">
        <v>43530</v>
      </c>
      <c r="G598" s="11">
        <v>43532</v>
      </c>
      <c r="H598" s="51"/>
      <c r="I598" s="52"/>
      <c r="J598" s="51">
        <f>G598+14</f>
        <v>43546</v>
      </c>
      <c r="K598" s="51">
        <f>J598+14</f>
        <v>43560</v>
      </c>
      <c r="L598" s="9"/>
      <c r="M598" s="10" t="str">
        <f t="shared" si="102"/>
        <v>Mar-19</v>
      </c>
      <c r="N598" s="10" t="str">
        <f t="shared" si="98"/>
        <v>Apr-19</v>
      </c>
      <c r="O598" s="17" t="s">
        <v>1323</v>
      </c>
      <c r="P598" s="17" t="s">
        <v>302</v>
      </c>
      <c r="Q598" s="45">
        <v>4493.28</v>
      </c>
      <c r="R598" s="45"/>
      <c r="S598" s="45">
        <f t="shared" si="101"/>
        <v>4493.28</v>
      </c>
      <c r="T598" s="146">
        <f t="shared" si="99"/>
        <v>4942.6080000000002</v>
      </c>
      <c r="U598" s="65">
        <v>2046.14</v>
      </c>
      <c r="V598" s="65"/>
      <c r="W598" s="21">
        <f t="shared" si="105"/>
        <v>2046.14</v>
      </c>
      <c r="X598" s="22">
        <f t="shared" si="103"/>
        <v>2447.1399999999994</v>
      </c>
      <c r="Y598" s="35">
        <f t="shared" si="104"/>
        <v>0.54462219136132173</v>
      </c>
      <c r="Z598" s="20"/>
      <c r="AA598" s="11"/>
      <c r="AB598" s="20"/>
      <c r="AC598" s="24" t="s">
        <v>73</v>
      </c>
      <c r="AD598" s="10" t="s">
        <v>47</v>
      </c>
      <c r="AE598" s="10">
        <v>43480</v>
      </c>
      <c r="AF598" s="63"/>
      <c r="AG598" s="10">
        <v>43552</v>
      </c>
      <c r="AH598" s="25">
        <f t="shared" si="100"/>
        <v>72</v>
      </c>
      <c r="AK598" s="27"/>
    </row>
    <row r="599" spans="1:37" s="26" customFormat="1" ht="15" customHeight="1" x14ac:dyDescent="0.45">
      <c r="A599" s="8" t="s">
        <v>774</v>
      </c>
      <c r="B599" s="8" t="s">
        <v>42</v>
      </c>
      <c r="C599" s="8" t="s">
        <v>36</v>
      </c>
      <c r="D599" s="9"/>
      <c r="E599" s="9"/>
      <c r="F599" s="10"/>
      <c r="G599" s="11">
        <v>43615</v>
      </c>
      <c r="H599" s="51"/>
      <c r="I599" s="52"/>
      <c r="J599" s="51"/>
      <c r="K599" s="51"/>
      <c r="L599" s="9"/>
      <c r="M599" s="10" t="str">
        <f t="shared" si="102"/>
        <v>May-19</v>
      </c>
      <c r="N599" s="10" t="str">
        <f t="shared" si="98"/>
        <v>Jan-00</v>
      </c>
      <c r="O599" s="113" t="s">
        <v>1324</v>
      </c>
      <c r="P599" s="113" t="s">
        <v>45</v>
      </c>
      <c r="Q599" s="45">
        <f>34417.25-Q600</f>
        <v>24092.07</v>
      </c>
      <c r="R599" s="45"/>
      <c r="S599" s="45">
        <f t="shared" si="101"/>
        <v>24092.07</v>
      </c>
      <c r="T599" s="146">
        <f t="shared" si="99"/>
        <v>26501.277000000002</v>
      </c>
      <c r="U599" s="65">
        <v>1500</v>
      </c>
      <c r="V599" s="65"/>
      <c r="W599" s="21">
        <f t="shared" si="105"/>
        <v>1500</v>
      </c>
      <c r="X599" s="22">
        <f t="shared" si="103"/>
        <v>22592.07</v>
      </c>
      <c r="Y599" s="35">
        <f t="shared" si="104"/>
        <v>0.93773884933922236</v>
      </c>
      <c r="Z599" s="20"/>
      <c r="AA599" s="11"/>
      <c r="AB599" s="20"/>
      <c r="AC599" s="24" t="s">
        <v>69</v>
      </c>
      <c r="AD599" s="10" t="s">
        <v>47</v>
      </c>
      <c r="AE599" s="10">
        <v>43481</v>
      </c>
      <c r="AF599" s="63"/>
      <c r="AG599" s="10">
        <v>43570</v>
      </c>
      <c r="AH599" s="25">
        <f t="shared" si="100"/>
        <v>89</v>
      </c>
      <c r="AK599" s="27"/>
    </row>
    <row r="600" spans="1:37" s="26" customFormat="1" ht="15" customHeight="1" x14ac:dyDescent="0.45">
      <c r="A600" s="8" t="s">
        <v>546</v>
      </c>
      <c r="B600" s="8" t="s">
        <v>35</v>
      </c>
      <c r="C600" s="8" t="s">
        <v>51</v>
      </c>
      <c r="D600" s="9" t="s">
        <v>1325</v>
      </c>
      <c r="E600" s="9">
        <v>43487</v>
      </c>
      <c r="F600" s="10">
        <v>43483</v>
      </c>
      <c r="G600" s="10">
        <v>43483</v>
      </c>
      <c r="H600" s="67"/>
      <c r="I600" s="68"/>
      <c r="J600" s="67"/>
      <c r="K600" s="51">
        <v>43487</v>
      </c>
      <c r="L600" s="9"/>
      <c r="M600" s="10" t="str">
        <f t="shared" si="102"/>
        <v>Jan-19</v>
      </c>
      <c r="N600" s="10" t="str">
        <f t="shared" si="98"/>
        <v>Jan-19</v>
      </c>
      <c r="O600" s="113" t="s">
        <v>1324</v>
      </c>
      <c r="P600" s="113" t="s">
        <v>45</v>
      </c>
      <c r="Q600" s="45">
        <v>10325.18</v>
      </c>
      <c r="R600" s="68"/>
      <c r="S600" s="45">
        <f t="shared" si="101"/>
        <v>10325.18</v>
      </c>
      <c r="T600" s="146">
        <v>33716.65</v>
      </c>
      <c r="U600" s="68"/>
      <c r="V600" s="67"/>
      <c r="W600" s="21">
        <f t="shared" si="105"/>
        <v>0</v>
      </c>
      <c r="X600" s="22">
        <f t="shared" si="103"/>
        <v>10325.18</v>
      </c>
      <c r="Y600" s="35">
        <f t="shared" si="104"/>
        <v>1</v>
      </c>
      <c r="Z600" s="20"/>
      <c r="AA600" s="11"/>
      <c r="AB600" s="20"/>
      <c r="AC600" s="24" t="s">
        <v>69</v>
      </c>
      <c r="AD600" s="10" t="s">
        <v>47</v>
      </c>
      <c r="AE600" s="10">
        <v>43481</v>
      </c>
      <c r="AF600" s="63"/>
      <c r="AG600" s="10">
        <v>43570</v>
      </c>
      <c r="AH600" s="25">
        <f t="shared" si="100"/>
        <v>89</v>
      </c>
      <c r="AK600" s="27"/>
    </row>
    <row r="601" spans="1:37" s="26" customFormat="1" ht="15" customHeight="1" x14ac:dyDescent="0.45">
      <c r="A601" s="8" t="s">
        <v>774</v>
      </c>
      <c r="B601" s="8" t="s">
        <v>42</v>
      </c>
      <c r="C601" s="8" t="s">
        <v>36</v>
      </c>
      <c r="D601" s="9"/>
      <c r="E601" s="9"/>
      <c r="F601" s="10"/>
      <c r="G601" s="11">
        <v>43615</v>
      </c>
      <c r="H601" s="51"/>
      <c r="I601" s="52"/>
      <c r="J601" s="51"/>
      <c r="K601" s="51"/>
      <c r="L601" s="9"/>
      <c r="M601" s="10" t="str">
        <f t="shared" si="102"/>
        <v>May-19</v>
      </c>
      <c r="N601" s="10" t="str">
        <f t="shared" si="98"/>
        <v>Jan-00</v>
      </c>
      <c r="O601" s="113" t="s">
        <v>1326</v>
      </c>
      <c r="P601" s="113" t="s">
        <v>211</v>
      </c>
      <c r="Q601" s="45">
        <f>55450.04-Q602</f>
        <v>38814.94</v>
      </c>
      <c r="R601" s="45"/>
      <c r="S601" s="45">
        <f t="shared" si="101"/>
        <v>38814.94</v>
      </c>
      <c r="T601" s="146">
        <f t="shared" ref="T601:T664" si="108">S601*1.1</f>
        <v>42696.434000000008</v>
      </c>
      <c r="U601" s="65">
        <v>12281.92</v>
      </c>
      <c r="V601" s="65"/>
      <c r="W601" s="21">
        <f t="shared" si="105"/>
        <v>12281.92</v>
      </c>
      <c r="X601" s="22">
        <f t="shared" si="103"/>
        <v>26533.020000000004</v>
      </c>
      <c r="Y601" s="35">
        <f t="shared" si="104"/>
        <v>0.68357750907253756</v>
      </c>
      <c r="Z601" s="20"/>
      <c r="AA601" s="11"/>
      <c r="AB601" s="20"/>
      <c r="AC601" s="24" t="s">
        <v>69</v>
      </c>
      <c r="AD601" s="10" t="s">
        <v>47</v>
      </c>
      <c r="AE601" s="10">
        <v>43481</v>
      </c>
      <c r="AF601" s="63"/>
      <c r="AG601" s="10">
        <v>43570</v>
      </c>
      <c r="AH601" s="25">
        <f t="shared" si="100"/>
        <v>89</v>
      </c>
      <c r="AK601" s="27"/>
    </row>
    <row r="602" spans="1:37" s="26" customFormat="1" ht="15" customHeight="1" x14ac:dyDescent="0.45">
      <c r="A602" s="8" t="s">
        <v>546</v>
      </c>
      <c r="B602" s="8" t="s">
        <v>35</v>
      </c>
      <c r="C602" s="8" t="s">
        <v>51</v>
      </c>
      <c r="D602" s="9" t="s">
        <v>1327</v>
      </c>
      <c r="E602" s="9">
        <v>43487</v>
      </c>
      <c r="F602" s="10">
        <v>43483</v>
      </c>
      <c r="G602" s="10">
        <v>43483</v>
      </c>
      <c r="H602" s="67"/>
      <c r="I602" s="68"/>
      <c r="J602" s="67"/>
      <c r="K602" s="51">
        <v>43487</v>
      </c>
      <c r="L602" s="9"/>
      <c r="M602" s="10" t="str">
        <f t="shared" si="102"/>
        <v>Jan-19</v>
      </c>
      <c r="N602" s="10" t="str">
        <f t="shared" si="98"/>
        <v>Jan-19</v>
      </c>
      <c r="O602" s="113" t="s">
        <v>1326</v>
      </c>
      <c r="P602" s="113" t="s">
        <v>211</v>
      </c>
      <c r="Q602" s="45">
        <v>16635.099999999999</v>
      </c>
      <c r="R602" s="68"/>
      <c r="S602" s="45">
        <f t="shared" si="101"/>
        <v>16635.099999999999</v>
      </c>
      <c r="T602" s="146">
        <f t="shared" si="108"/>
        <v>18298.61</v>
      </c>
      <c r="U602" s="68"/>
      <c r="V602" s="67"/>
      <c r="W602" s="21">
        <f t="shared" si="105"/>
        <v>0</v>
      </c>
      <c r="X602" s="22">
        <f t="shared" si="103"/>
        <v>16635.099999999999</v>
      </c>
      <c r="Y602" s="35">
        <f t="shared" si="104"/>
        <v>1</v>
      </c>
      <c r="Z602" s="20"/>
      <c r="AA602" s="11"/>
      <c r="AB602" s="20"/>
      <c r="AC602" s="24" t="s">
        <v>69</v>
      </c>
      <c r="AD602" s="10" t="s">
        <v>47</v>
      </c>
      <c r="AE602" s="10">
        <v>43481</v>
      </c>
      <c r="AF602" s="63"/>
      <c r="AG602" s="10">
        <v>43570</v>
      </c>
      <c r="AH602" s="25">
        <f t="shared" si="100"/>
        <v>89</v>
      </c>
      <c r="AK602" s="27"/>
    </row>
    <row r="603" spans="1:37" s="26" customFormat="1" ht="15" customHeight="1" x14ac:dyDescent="0.45">
      <c r="A603" s="8" t="s">
        <v>34</v>
      </c>
      <c r="B603" s="8" t="s">
        <v>100</v>
      </c>
      <c r="C603" s="8" t="s">
        <v>57</v>
      </c>
      <c r="D603" s="9"/>
      <c r="E603" s="9"/>
      <c r="F603" s="10">
        <v>43514</v>
      </c>
      <c r="G603" s="11">
        <v>43514</v>
      </c>
      <c r="H603" s="51"/>
      <c r="I603" s="52"/>
      <c r="J603" s="14">
        <f>G603+14</f>
        <v>43528</v>
      </c>
      <c r="K603" s="51">
        <f>J603+14</f>
        <v>43542</v>
      </c>
      <c r="L603" s="9"/>
      <c r="M603" s="10" t="str">
        <f t="shared" si="102"/>
        <v>Feb-19</v>
      </c>
      <c r="N603" s="10" t="str">
        <f t="shared" si="98"/>
        <v>Mar-19</v>
      </c>
      <c r="O603" s="17" t="s">
        <v>1328</v>
      </c>
      <c r="P603" s="17" t="s">
        <v>1329</v>
      </c>
      <c r="Q603" s="45">
        <v>6815.77</v>
      </c>
      <c r="R603" s="45">
        <v>2647.61</v>
      </c>
      <c r="S603" s="45">
        <f t="shared" si="101"/>
        <v>9463.380000000001</v>
      </c>
      <c r="T603" s="146">
        <f t="shared" si="108"/>
        <v>10409.718000000003</v>
      </c>
      <c r="U603" s="65"/>
      <c r="V603" s="65"/>
      <c r="W603" s="21">
        <f t="shared" si="105"/>
        <v>0</v>
      </c>
      <c r="X603" s="22">
        <f t="shared" si="103"/>
        <v>9463.380000000001</v>
      </c>
      <c r="Y603" s="35">
        <f t="shared" si="104"/>
        <v>1</v>
      </c>
      <c r="Z603" s="20"/>
      <c r="AA603" s="11"/>
      <c r="AB603" s="20"/>
      <c r="AC603" s="24" t="s">
        <v>69</v>
      </c>
      <c r="AD603" s="10">
        <v>43473</v>
      </c>
      <c r="AE603" s="10">
        <v>43482</v>
      </c>
      <c r="AF603" s="63"/>
      <c r="AG603" s="10">
        <v>43556</v>
      </c>
      <c r="AH603" s="25">
        <f t="shared" si="100"/>
        <v>74</v>
      </c>
      <c r="AK603" s="27"/>
    </row>
    <row r="604" spans="1:37" s="26" customFormat="1" ht="15" customHeight="1" x14ac:dyDescent="0.45">
      <c r="A604" s="8" t="s">
        <v>34</v>
      </c>
      <c r="B604" s="8" t="s">
        <v>297</v>
      </c>
      <c r="C604" s="28" t="s">
        <v>43</v>
      </c>
      <c r="D604" s="9"/>
      <c r="E604" s="9"/>
      <c r="F604" s="10"/>
      <c r="G604" s="11">
        <v>43585</v>
      </c>
      <c r="H604" s="51"/>
      <c r="I604" s="52"/>
      <c r="J604" s="51"/>
      <c r="K604" s="51"/>
      <c r="L604" s="9"/>
      <c r="M604" s="10" t="str">
        <f t="shared" si="102"/>
        <v>Apr-19</v>
      </c>
      <c r="N604" s="10" t="str">
        <f t="shared" si="98"/>
        <v>Jan-00</v>
      </c>
      <c r="O604" s="17" t="s">
        <v>1330</v>
      </c>
      <c r="P604" s="17" t="s">
        <v>908</v>
      </c>
      <c r="Q604" s="45">
        <v>10117.98</v>
      </c>
      <c r="R604" s="45"/>
      <c r="S604" s="45">
        <f t="shared" si="101"/>
        <v>10117.98</v>
      </c>
      <c r="T604" s="146">
        <f t="shared" si="108"/>
        <v>11129.778</v>
      </c>
      <c r="U604" s="65"/>
      <c r="V604" s="65"/>
      <c r="W604" s="21">
        <f t="shared" si="105"/>
        <v>0</v>
      </c>
      <c r="X604" s="22">
        <f t="shared" si="103"/>
        <v>10117.98</v>
      </c>
      <c r="Y604" s="35">
        <f t="shared" si="104"/>
        <v>1</v>
      </c>
      <c r="Z604" s="20"/>
      <c r="AA604" s="11"/>
      <c r="AB604" s="20"/>
      <c r="AC604" s="24" t="s">
        <v>69</v>
      </c>
      <c r="AD604" s="10">
        <v>43473</v>
      </c>
      <c r="AE604" s="10">
        <v>43482</v>
      </c>
      <c r="AF604" s="63"/>
      <c r="AG604" s="10">
        <v>43556</v>
      </c>
      <c r="AH604" s="25">
        <f t="shared" si="100"/>
        <v>74</v>
      </c>
      <c r="AK604" s="27"/>
    </row>
    <row r="605" spans="1:37" s="26" customFormat="1" ht="15" customHeight="1" x14ac:dyDescent="0.45">
      <c r="A605" s="8" t="s">
        <v>774</v>
      </c>
      <c r="B605" s="8" t="s">
        <v>42</v>
      </c>
      <c r="C605" s="8" t="s">
        <v>36</v>
      </c>
      <c r="D605" s="9"/>
      <c r="E605" s="9"/>
      <c r="F605" s="10"/>
      <c r="G605" s="11">
        <v>43524</v>
      </c>
      <c r="H605" s="51"/>
      <c r="I605" s="52"/>
      <c r="J605" s="51"/>
      <c r="K605" s="51"/>
      <c r="L605" s="9"/>
      <c r="M605" s="10" t="str">
        <f t="shared" si="102"/>
        <v>Feb-19</v>
      </c>
      <c r="N605" s="10" t="str">
        <f t="shared" si="98"/>
        <v>Jan-00</v>
      </c>
      <c r="O605" s="113" t="s">
        <v>1331</v>
      </c>
      <c r="P605" s="113" t="s">
        <v>1332</v>
      </c>
      <c r="Q605" s="45">
        <v>1640</v>
      </c>
      <c r="R605" s="45"/>
      <c r="S605" s="45">
        <f t="shared" si="101"/>
        <v>1640</v>
      </c>
      <c r="T605" s="146">
        <f t="shared" si="108"/>
        <v>1804.0000000000002</v>
      </c>
      <c r="U605" s="65">
        <v>1500</v>
      </c>
      <c r="V605" s="65"/>
      <c r="W605" s="21">
        <f t="shared" si="105"/>
        <v>1500</v>
      </c>
      <c r="X605" s="22">
        <f t="shared" si="103"/>
        <v>140</v>
      </c>
      <c r="Y605" s="35">
        <f t="shared" si="104"/>
        <v>8.5365853658536592E-2</v>
      </c>
      <c r="Z605" s="20"/>
      <c r="AA605" s="11"/>
      <c r="AB605" s="20"/>
      <c r="AC605" s="24" t="s">
        <v>69</v>
      </c>
      <c r="AD605" s="10">
        <v>43480</v>
      </c>
      <c r="AE605" s="10">
        <v>43483</v>
      </c>
      <c r="AF605" s="63">
        <f>AE605-AD605</f>
        <v>3</v>
      </c>
      <c r="AG605" s="10">
        <v>43507</v>
      </c>
      <c r="AH605" s="25">
        <f t="shared" si="100"/>
        <v>24</v>
      </c>
      <c r="AK605" s="27"/>
    </row>
    <row r="606" spans="1:37" s="26" customFormat="1" ht="15" customHeight="1" x14ac:dyDescent="0.45">
      <c r="A606" s="8" t="s">
        <v>774</v>
      </c>
      <c r="B606" s="8" t="s">
        <v>42</v>
      </c>
      <c r="C606" s="8" t="s">
        <v>36</v>
      </c>
      <c r="D606" s="9"/>
      <c r="E606" s="9"/>
      <c r="F606" s="10"/>
      <c r="G606" s="11">
        <v>43585</v>
      </c>
      <c r="H606" s="51"/>
      <c r="I606" s="52"/>
      <c r="J606" s="51"/>
      <c r="K606" s="51"/>
      <c r="L606" s="9"/>
      <c r="M606" s="10" t="str">
        <f t="shared" si="102"/>
        <v>Apr-19</v>
      </c>
      <c r="N606" s="10" t="str">
        <f t="shared" si="98"/>
        <v>Jan-00</v>
      </c>
      <c r="O606" s="113" t="s">
        <v>1333</v>
      </c>
      <c r="P606" s="113" t="s">
        <v>1334</v>
      </c>
      <c r="Q606" s="45">
        <f>61477.72-Q607</f>
        <v>43034.404000000002</v>
      </c>
      <c r="R606" s="45"/>
      <c r="S606" s="45">
        <f t="shared" si="101"/>
        <v>43034.404000000002</v>
      </c>
      <c r="T606" s="146">
        <f t="shared" si="108"/>
        <v>47337.844400000009</v>
      </c>
      <c r="U606" s="65">
        <v>24753.26</v>
      </c>
      <c r="V606" s="65"/>
      <c r="W606" s="21">
        <f t="shared" si="105"/>
        <v>24753.26</v>
      </c>
      <c r="X606" s="22">
        <f t="shared" si="103"/>
        <v>18281.144000000004</v>
      </c>
      <c r="Y606" s="35">
        <f t="shared" si="104"/>
        <v>0.42480300180292963</v>
      </c>
      <c r="Z606" s="20"/>
      <c r="AA606" s="11"/>
      <c r="AB606" s="20"/>
      <c r="AC606" s="24" t="s">
        <v>69</v>
      </c>
      <c r="AD606" s="10" t="s">
        <v>47</v>
      </c>
      <c r="AE606" s="10">
        <v>43489</v>
      </c>
      <c r="AF606" s="63"/>
      <c r="AG606" s="10">
        <v>43553</v>
      </c>
      <c r="AH606" s="25">
        <f t="shared" si="100"/>
        <v>64</v>
      </c>
      <c r="AK606" s="27"/>
    </row>
    <row r="607" spans="1:37" s="26" customFormat="1" ht="15" customHeight="1" x14ac:dyDescent="0.45">
      <c r="A607" s="8" t="s">
        <v>546</v>
      </c>
      <c r="B607" s="8" t="s">
        <v>35</v>
      </c>
      <c r="C607" s="8" t="s">
        <v>51</v>
      </c>
      <c r="D607" s="9" t="s">
        <v>1335</v>
      </c>
      <c r="E607" s="9">
        <v>43496</v>
      </c>
      <c r="F607" s="10">
        <v>43490</v>
      </c>
      <c r="G607" s="11">
        <v>43490</v>
      </c>
      <c r="H607" s="68"/>
      <c r="I607" s="68"/>
      <c r="J607" s="68"/>
      <c r="K607" s="51">
        <v>43496</v>
      </c>
      <c r="L607" s="9"/>
      <c r="M607" s="10" t="str">
        <f t="shared" si="102"/>
        <v>Jan-19</v>
      </c>
      <c r="N607" s="10" t="str">
        <f t="shared" si="98"/>
        <v>Jan-19</v>
      </c>
      <c r="O607" s="113" t="s">
        <v>1333</v>
      </c>
      <c r="P607" s="113" t="s">
        <v>1334</v>
      </c>
      <c r="Q607" s="45">
        <f>61477.72*0.3</f>
        <v>18443.315999999999</v>
      </c>
      <c r="R607" s="68"/>
      <c r="S607" s="45">
        <f t="shared" si="101"/>
        <v>18443.315999999999</v>
      </c>
      <c r="T607" s="146">
        <f t="shared" si="108"/>
        <v>20287.6476</v>
      </c>
      <c r="U607" s="68"/>
      <c r="V607" s="67"/>
      <c r="W607" s="21">
        <f t="shared" si="105"/>
        <v>0</v>
      </c>
      <c r="X607" s="22">
        <f t="shared" si="103"/>
        <v>18443.315999999999</v>
      </c>
      <c r="Y607" s="35">
        <f t="shared" si="104"/>
        <v>1</v>
      </c>
      <c r="Z607" s="20"/>
      <c r="AA607" s="11"/>
      <c r="AB607" s="20"/>
      <c r="AC607" s="24" t="s">
        <v>69</v>
      </c>
      <c r="AD607" s="10" t="s">
        <v>47</v>
      </c>
      <c r="AE607" s="10">
        <v>43489</v>
      </c>
      <c r="AF607" s="63"/>
      <c r="AG607" s="10">
        <v>43553</v>
      </c>
      <c r="AH607" s="25">
        <f t="shared" si="100"/>
        <v>64</v>
      </c>
      <c r="AK607" s="27"/>
    </row>
    <row r="608" spans="1:37" s="26" customFormat="1" ht="15" customHeight="1" x14ac:dyDescent="0.45">
      <c r="A608" s="28" t="s">
        <v>1336</v>
      </c>
      <c r="B608" s="8" t="s">
        <v>42</v>
      </c>
      <c r="C608" s="28" t="s">
        <v>43</v>
      </c>
      <c r="D608" s="9"/>
      <c r="E608" s="9"/>
      <c r="F608" s="10"/>
      <c r="G608" s="11">
        <v>43554</v>
      </c>
      <c r="H608" s="51"/>
      <c r="I608" s="52"/>
      <c r="J608" s="51"/>
      <c r="K608" s="51"/>
      <c r="L608" s="9"/>
      <c r="M608" s="10" t="str">
        <f t="shared" si="102"/>
        <v>Mar-19</v>
      </c>
      <c r="N608" s="10" t="str">
        <f t="shared" si="98"/>
        <v>Jan-00</v>
      </c>
      <c r="O608" s="17" t="s">
        <v>1337</v>
      </c>
      <c r="P608" s="17" t="s">
        <v>353</v>
      </c>
      <c r="Q608" s="45">
        <v>973.92</v>
      </c>
      <c r="R608" s="45"/>
      <c r="S608" s="45">
        <f t="shared" ref="S608:S620" si="109">SUM(Q608:R608)</f>
        <v>973.92</v>
      </c>
      <c r="T608" s="146">
        <f t="shared" si="108"/>
        <v>1071.3120000000001</v>
      </c>
      <c r="U608" s="65"/>
      <c r="V608" s="65"/>
      <c r="W608" s="21">
        <f t="shared" si="105"/>
        <v>0</v>
      </c>
      <c r="X608" s="22">
        <f t="shared" si="103"/>
        <v>973.92</v>
      </c>
      <c r="Y608" s="35">
        <f t="shared" si="104"/>
        <v>1</v>
      </c>
      <c r="Z608" s="20"/>
      <c r="AA608" s="11"/>
      <c r="AB608" s="20"/>
      <c r="AC608" s="150"/>
      <c r="AD608" s="10" t="s">
        <v>47</v>
      </c>
      <c r="AE608" s="10">
        <v>43489</v>
      </c>
      <c r="AF608" s="63"/>
      <c r="AG608" s="10">
        <v>43530</v>
      </c>
      <c r="AH608" s="25">
        <f t="shared" si="100"/>
        <v>41</v>
      </c>
      <c r="AK608" s="27"/>
    </row>
    <row r="609" spans="1:37" s="26" customFormat="1" ht="15" customHeight="1" x14ac:dyDescent="0.45">
      <c r="A609" s="28" t="s">
        <v>774</v>
      </c>
      <c r="B609" s="8" t="s">
        <v>146</v>
      </c>
      <c r="C609" s="8" t="s">
        <v>36</v>
      </c>
      <c r="D609" s="9"/>
      <c r="E609" s="9"/>
      <c r="F609" s="10"/>
      <c r="G609" s="11">
        <v>43585</v>
      </c>
      <c r="H609" s="51"/>
      <c r="I609" s="52"/>
      <c r="J609" s="51"/>
      <c r="K609" s="51"/>
      <c r="L609" s="9"/>
      <c r="M609" s="10" t="str">
        <f t="shared" si="102"/>
        <v>Apr-19</v>
      </c>
      <c r="N609" s="10" t="str">
        <f t="shared" si="98"/>
        <v>Jan-00</v>
      </c>
      <c r="O609" s="113" t="s">
        <v>1338</v>
      </c>
      <c r="P609" s="113" t="s">
        <v>1339</v>
      </c>
      <c r="Q609" s="45">
        <f>50300.02-Q610</f>
        <v>35210.013999999996</v>
      </c>
      <c r="R609" s="45"/>
      <c r="S609" s="45">
        <f t="shared" si="109"/>
        <v>35210.013999999996</v>
      </c>
      <c r="T609" s="146">
        <f t="shared" si="108"/>
        <v>38731.015399999997</v>
      </c>
      <c r="U609" s="65">
        <v>1500</v>
      </c>
      <c r="V609" s="65"/>
      <c r="W609" s="21">
        <f t="shared" ref="W609:W619" si="110">SUM(U609:V609)</f>
        <v>1500</v>
      </c>
      <c r="X609" s="22">
        <f t="shared" si="103"/>
        <v>33710.013999999996</v>
      </c>
      <c r="Y609" s="35">
        <f t="shared" si="104"/>
        <v>0.9573984832837612</v>
      </c>
      <c r="Z609" s="20"/>
      <c r="AA609" s="11"/>
      <c r="AB609" s="20"/>
      <c r="AC609" s="24" t="s">
        <v>1340</v>
      </c>
      <c r="AD609" s="10" t="s">
        <v>47</v>
      </c>
      <c r="AE609" s="10">
        <v>43490</v>
      </c>
      <c r="AF609" s="63"/>
      <c r="AG609" s="10">
        <v>43553</v>
      </c>
      <c r="AH609" s="25">
        <f t="shared" si="100"/>
        <v>63</v>
      </c>
      <c r="AK609" s="27"/>
    </row>
    <row r="610" spans="1:37" s="26" customFormat="1" ht="15" customHeight="1" x14ac:dyDescent="0.45">
      <c r="A610" s="28" t="s">
        <v>546</v>
      </c>
      <c r="B610" s="8" t="s">
        <v>35</v>
      </c>
      <c r="C610" s="8" t="s">
        <v>51</v>
      </c>
      <c r="D610" s="9" t="s">
        <v>1341</v>
      </c>
      <c r="E610" s="9">
        <v>43496</v>
      </c>
      <c r="F610" s="11">
        <v>43494</v>
      </c>
      <c r="G610" s="11">
        <v>43494</v>
      </c>
      <c r="H610" s="67"/>
      <c r="I610" s="68"/>
      <c r="J610" s="67"/>
      <c r="K610" s="51">
        <v>43496</v>
      </c>
      <c r="L610" s="9"/>
      <c r="M610" s="10" t="str">
        <f t="shared" si="102"/>
        <v>Jan-19</v>
      </c>
      <c r="N610" s="10" t="str">
        <f t="shared" si="98"/>
        <v>Jan-19</v>
      </c>
      <c r="O610" s="113" t="s">
        <v>1338</v>
      </c>
      <c r="P610" s="113" t="s">
        <v>1339</v>
      </c>
      <c r="Q610" s="45">
        <f>50300.02*0.3</f>
        <v>15090.005999999998</v>
      </c>
      <c r="R610" s="73"/>
      <c r="S610" s="45">
        <f t="shared" si="109"/>
        <v>15090.005999999998</v>
      </c>
      <c r="T610" s="146">
        <f t="shared" si="108"/>
        <v>16599.006599999997</v>
      </c>
      <c r="U610" s="68"/>
      <c r="V610" s="67"/>
      <c r="W610" s="21">
        <f t="shared" si="110"/>
        <v>0</v>
      </c>
      <c r="X610" s="22">
        <f t="shared" si="103"/>
        <v>15090.005999999998</v>
      </c>
      <c r="Y610" s="35">
        <f t="shared" si="104"/>
        <v>1</v>
      </c>
      <c r="Z610" s="20"/>
      <c r="AA610" s="11"/>
      <c r="AB610" s="20"/>
      <c r="AC610" s="24" t="s">
        <v>1340</v>
      </c>
      <c r="AD610" s="10" t="s">
        <v>47</v>
      </c>
      <c r="AE610" s="10">
        <v>43490</v>
      </c>
      <c r="AF610" s="63"/>
      <c r="AG610" s="10">
        <v>43553</v>
      </c>
      <c r="AH610" s="25">
        <f t="shared" si="100"/>
        <v>63</v>
      </c>
      <c r="AK610" s="27"/>
    </row>
    <row r="611" spans="1:37" s="26" customFormat="1" ht="15" customHeight="1" x14ac:dyDescent="0.45">
      <c r="A611" s="28" t="s">
        <v>774</v>
      </c>
      <c r="B611" s="8" t="s">
        <v>373</v>
      </c>
      <c r="C611" s="8" t="s">
        <v>36</v>
      </c>
      <c r="D611" s="9"/>
      <c r="E611" s="9"/>
      <c r="F611" s="10"/>
      <c r="G611" s="11">
        <v>43615</v>
      </c>
      <c r="H611" s="51"/>
      <c r="I611" s="52"/>
      <c r="J611" s="51"/>
      <c r="K611" s="51"/>
      <c r="L611" s="9"/>
      <c r="M611" s="10" t="str">
        <f t="shared" si="102"/>
        <v>May-19</v>
      </c>
      <c r="N611" s="10" t="str">
        <f t="shared" si="98"/>
        <v>Jan-00</v>
      </c>
      <c r="O611" s="113" t="s">
        <v>1342</v>
      </c>
      <c r="P611" s="113" t="s">
        <v>957</v>
      </c>
      <c r="Q611" s="45">
        <f>47388.17-Q612</f>
        <v>33171.718999999997</v>
      </c>
      <c r="R611" s="45"/>
      <c r="S611" s="45">
        <f t="shared" si="109"/>
        <v>33171.718999999997</v>
      </c>
      <c r="T611" s="146">
        <f t="shared" si="108"/>
        <v>36488.890899999999</v>
      </c>
      <c r="U611" s="65">
        <v>9278.24</v>
      </c>
      <c r="V611" s="65"/>
      <c r="W611" s="21">
        <f t="shared" si="110"/>
        <v>9278.24</v>
      </c>
      <c r="X611" s="22">
        <f t="shared" si="103"/>
        <v>23893.478999999999</v>
      </c>
      <c r="Y611" s="35">
        <f t="shared" si="104"/>
        <v>0.72029667802262531</v>
      </c>
      <c r="Z611" s="20"/>
      <c r="AA611" s="11"/>
      <c r="AB611" s="20"/>
      <c r="AC611" s="24" t="s">
        <v>1340</v>
      </c>
      <c r="AD611" s="10" t="s">
        <v>47</v>
      </c>
      <c r="AE611" s="10">
        <v>43490</v>
      </c>
      <c r="AF611" s="63"/>
      <c r="AG611" s="10">
        <v>43570</v>
      </c>
      <c r="AH611" s="25">
        <f t="shared" si="100"/>
        <v>80</v>
      </c>
      <c r="AK611" s="27"/>
    </row>
    <row r="612" spans="1:37" s="26" customFormat="1" ht="15" customHeight="1" x14ac:dyDescent="0.45">
      <c r="A612" s="28" t="s">
        <v>546</v>
      </c>
      <c r="B612" s="8" t="s">
        <v>373</v>
      </c>
      <c r="C612" s="8" t="s">
        <v>51</v>
      </c>
      <c r="D612" s="9" t="s">
        <v>1343</v>
      </c>
      <c r="E612" s="9">
        <v>43539</v>
      </c>
      <c r="F612" s="120">
        <v>43494</v>
      </c>
      <c r="G612" s="10">
        <v>43494</v>
      </c>
      <c r="H612" s="67"/>
      <c r="I612" s="68"/>
      <c r="J612" s="67"/>
      <c r="K612" s="151">
        <v>43539</v>
      </c>
      <c r="L612" s="9"/>
      <c r="M612" s="10" t="str">
        <f t="shared" si="102"/>
        <v>Jan-19</v>
      </c>
      <c r="N612" s="10" t="str">
        <f t="shared" si="98"/>
        <v>Mar-19</v>
      </c>
      <c r="O612" s="113" t="s">
        <v>1342</v>
      </c>
      <c r="P612" s="113" t="s">
        <v>957</v>
      </c>
      <c r="Q612" s="45">
        <f>47388.17*0.3</f>
        <v>14216.450999999999</v>
      </c>
      <c r="R612" s="73"/>
      <c r="S612" s="45">
        <f t="shared" si="109"/>
        <v>14216.450999999999</v>
      </c>
      <c r="T612" s="146">
        <f t="shared" si="108"/>
        <v>15638.096100000001</v>
      </c>
      <c r="U612" s="100"/>
      <c r="V612" s="100"/>
      <c r="W612" s="21">
        <f t="shared" si="110"/>
        <v>0</v>
      </c>
      <c r="X612" s="22">
        <f t="shared" si="103"/>
        <v>14216.450999999999</v>
      </c>
      <c r="Y612" s="35">
        <f t="shared" si="104"/>
        <v>1</v>
      </c>
      <c r="Z612" s="20"/>
      <c r="AA612" s="11"/>
      <c r="AB612" s="20"/>
      <c r="AC612" s="24" t="s">
        <v>1340</v>
      </c>
      <c r="AD612" s="10" t="s">
        <v>47</v>
      </c>
      <c r="AE612" s="10">
        <v>43490</v>
      </c>
      <c r="AF612" s="63"/>
      <c r="AG612" s="10">
        <v>43570</v>
      </c>
      <c r="AH612" s="25">
        <f t="shared" si="100"/>
        <v>80</v>
      </c>
      <c r="AK612" s="27"/>
    </row>
    <row r="613" spans="1:37" s="26" customFormat="1" ht="15" customHeight="1" x14ac:dyDescent="0.45">
      <c r="A613" s="28" t="s">
        <v>774</v>
      </c>
      <c r="B613" s="8" t="s">
        <v>373</v>
      </c>
      <c r="C613" s="8" t="s">
        <v>36</v>
      </c>
      <c r="D613" s="9"/>
      <c r="E613" s="9"/>
      <c r="F613" s="10"/>
      <c r="G613" s="10">
        <v>43494</v>
      </c>
      <c r="H613" s="51"/>
      <c r="I613" s="52"/>
      <c r="J613" s="51"/>
      <c r="K613" s="51"/>
      <c r="L613" s="9"/>
      <c r="M613" s="10" t="str">
        <f t="shared" si="102"/>
        <v>Jan-19</v>
      </c>
      <c r="N613" s="10" t="str">
        <f t="shared" si="98"/>
        <v>Jan-00</v>
      </c>
      <c r="O613" s="113" t="s">
        <v>1344</v>
      </c>
      <c r="P613" s="113" t="s">
        <v>957</v>
      </c>
      <c r="Q613" s="45">
        <f>107700.99-Q614</f>
        <v>75390.692999999999</v>
      </c>
      <c r="R613" s="45"/>
      <c r="S613" s="45">
        <f t="shared" si="109"/>
        <v>75390.692999999999</v>
      </c>
      <c r="T613" s="146">
        <f t="shared" si="108"/>
        <v>82929.762300000002</v>
      </c>
      <c r="U613" s="65">
        <v>18197.78</v>
      </c>
      <c r="V613" s="65"/>
      <c r="W613" s="21">
        <f t="shared" si="110"/>
        <v>18197.78</v>
      </c>
      <c r="X613" s="22">
        <f t="shared" si="103"/>
        <v>57192.913</v>
      </c>
      <c r="Y613" s="35">
        <f t="shared" si="104"/>
        <v>0.75862033792420502</v>
      </c>
      <c r="Z613" s="20"/>
      <c r="AA613" s="11"/>
      <c r="AB613" s="20"/>
      <c r="AC613" s="24" t="s">
        <v>1340</v>
      </c>
      <c r="AD613" s="10" t="s">
        <v>47</v>
      </c>
      <c r="AE613" s="10">
        <v>43490</v>
      </c>
      <c r="AF613" s="63"/>
      <c r="AG613" s="10">
        <v>43570</v>
      </c>
      <c r="AH613" s="25">
        <f t="shared" si="100"/>
        <v>80</v>
      </c>
      <c r="AK613" s="27"/>
    </row>
    <row r="614" spans="1:37" s="26" customFormat="1" ht="15" customHeight="1" x14ac:dyDescent="0.45">
      <c r="A614" s="28" t="s">
        <v>546</v>
      </c>
      <c r="B614" s="8" t="s">
        <v>373</v>
      </c>
      <c r="C614" s="8" t="s">
        <v>51</v>
      </c>
      <c r="D614" s="9" t="s">
        <v>1345</v>
      </c>
      <c r="E614" s="9">
        <v>43538</v>
      </c>
      <c r="F614" s="120">
        <v>43494</v>
      </c>
      <c r="G614" s="10">
        <v>43494</v>
      </c>
      <c r="H614" s="67"/>
      <c r="I614" s="68"/>
      <c r="J614" s="67"/>
      <c r="K614" s="151">
        <v>43538</v>
      </c>
      <c r="L614" s="9"/>
      <c r="M614" s="10" t="str">
        <f t="shared" si="102"/>
        <v>Jan-19</v>
      </c>
      <c r="N614" s="10" t="str">
        <f t="shared" si="98"/>
        <v>Mar-19</v>
      </c>
      <c r="O614" s="113" t="s">
        <v>1344</v>
      </c>
      <c r="P614" s="113" t="s">
        <v>957</v>
      </c>
      <c r="Q614" s="45">
        <f>107700.99*0.3</f>
        <v>32310.296999999999</v>
      </c>
      <c r="R614" s="73"/>
      <c r="S614" s="45">
        <f t="shared" si="109"/>
        <v>32310.296999999999</v>
      </c>
      <c r="T614" s="146">
        <f t="shared" si="108"/>
        <v>35541.326699999998</v>
      </c>
      <c r="U614" s="100"/>
      <c r="V614" s="100"/>
      <c r="W614" s="21">
        <f t="shared" si="110"/>
        <v>0</v>
      </c>
      <c r="X614" s="22">
        <f t="shared" si="103"/>
        <v>32310.296999999999</v>
      </c>
      <c r="Y614" s="35">
        <f t="shared" si="104"/>
        <v>1</v>
      </c>
      <c r="Z614" s="20"/>
      <c r="AA614" s="11"/>
      <c r="AB614" s="20"/>
      <c r="AC614" s="24" t="s">
        <v>1340</v>
      </c>
      <c r="AD614" s="10" t="s">
        <v>47</v>
      </c>
      <c r="AE614" s="10">
        <v>43490</v>
      </c>
      <c r="AF614" s="63"/>
      <c r="AG614" s="10">
        <v>43570</v>
      </c>
      <c r="AH614" s="25">
        <f t="shared" si="100"/>
        <v>80</v>
      </c>
      <c r="AK614" s="27"/>
    </row>
    <row r="615" spans="1:37" s="26" customFormat="1" ht="15" customHeight="1" x14ac:dyDescent="0.45">
      <c r="A615" s="28" t="s">
        <v>41</v>
      </c>
      <c r="B615" s="8" t="s">
        <v>357</v>
      </c>
      <c r="C615" s="8" t="s">
        <v>57</v>
      </c>
      <c r="D615" s="9"/>
      <c r="E615" s="9"/>
      <c r="F615" s="10"/>
      <c r="G615" s="10">
        <v>43494</v>
      </c>
      <c r="H615" s="51"/>
      <c r="I615" s="52"/>
      <c r="J615" s="51"/>
      <c r="K615" s="51"/>
      <c r="L615" s="9"/>
      <c r="M615" s="10" t="str">
        <f t="shared" si="102"/>
        <v>Jan-19</v>
      </c>
      <c r="N615" s="10" t="str">
        <f t="shared" si="98"/>
        <v>Jan-00</v>
      </c>
      <c r="O615" s="17" t="s">
        <v>1346</v>
      </c>
      <c r="P615" s="17" t="s">
        <v>1274</v>
      </c>
      <c r="Q615" s="45">
        <v>1990.1</v>
      </c>
      <c r="R615" s="45"/>
      <c r="S615" s="45">
        <f t="shared" si="109"/>
        <v>1990.1</v>
      </c>
      <c r="T615" s="146">
        <f t="shared" si="108"/>
        <v>2189.11</v>
      </c>
      <c r="U615" s="65"/>
      <c r="V615" s="65"/>
      <c r="W615" s="21">
        <f t="shared" si="110"/>
        <v>0</v>
      </c>
      <c r="X615" s="22">
        <f t="shared" si="103"/>
        <v>1990.1</v>
      </c>
      <c r="Y615" s="35">
        <f t="shared" si="104"/>
        <v>1</v>
      </c>
      <c r="Z615" s="20"/>
      <c r="AA615" s="11"/>
      <c r="AB615" s="20"/>
      <c r="AC615" s="24" t="s">
        <v>73</v>
      </c>
      <c r="AD615" s="10" t="s">
        <v>47</v>
      </c>
      <c r="AE615" s="10">
        <v>43490</v>
      </c>
      <c r="AF615" s="63"/>
      <c r="AG615" s="10">
        <v>43585</v>
      </c>
      <c r="AH615" s="25">
        <f t="shared" si="100"/>
        <v>95</v>
      </c>
      <c r="AK615" s="27"/>
    </row>
    <row r="616" spans="1:37" s="26" customFormat="1" ht="15" customHeight="1" x14ac:dyDescent="0.45">
      <c r="A616" s="28" t="s">
        <v>41</v>
      </c>
      <c r="B616" s="8" t="s">
        <v>357</v>
      </c>
      <c r="C616" s="8" t="s">
        <v>57</v>
      </c>
      <c r="D616" s="9"/>
      <c r="E616" s="9"/>
      <c r="F616" s="10"/>
      <c r="G616" s="11">
        <v>43585</v>
      </c>
      <c r="H616" s="51"/>
      <c r="I616" s="52"/>
      <c r="J616" s="51"/>
      <c r="K616" s="51"/>
      <c r="L616" s="9"/>
      <c r="M616" s="10" t="str">
        <f t="shared" si="102"/>
        <v>Apr-19</v>
      </c>
      <c r="N616" s="10" t="str">
        <f t="shared" si="98"/>
        <v>Jan-00</v>
      </c>
      <c r="O616" s="17" t="s">
        <v>1347</v>
      </c>
      <c r="P616" s="17" t="s">
        <v>1348</v>
      </c>
      <c r="Q616" s="45">
        <v>1115.5999999999999</v>
      </c>
      <c r="R616" s="45"/>
      <c r="S616" s="45">
        <f t="shared" si="109"/>
        <v>1115.5999999999999</v>
      </c>
      <c r="T616" s="146">
        <f t="shared" si="108"/>
        <v>1227.1600000000001</v>
      </c>
      <c r="U616" s="65"/>
      <c r="V616" s="65"/>
      <c r="W616" s="21">
        <f t="shared" si="110"/>
        <v>0</v>
      </c>
      <c r="X616" s="22">
        <f t="shared" si="103"/>
        <v>1115.5999999999999</v>
      </c>
      <c r="Y616" s="35">
        <f t="shared" si="104"/>
        <v>1</v>
      </c>
      <c r="Z616" s="20"/>
      <c r="AA616" s="11"/>
      <c r="AB616" s="20"/>
      <c r="AC616" s="24" t="s">
        <v>73</v>
      </c>
      <c r="AD616" s="10" t="s">
        <v>47</v>
      </c>
      <c r="AE616" s="10">
        <v>43490</v>
      </c>
      <c r="AF616" s="63"/>
      <c r="AG616" s="10">
        <v>43572</v>
      </c>
      <c r="AH616" s="25">
        <f t="shared" si="100"/>
        <v>82</v>
      </c>
      <c r="AK616" s="27"/>
    </row>
    <row r="617" spans="1:37" s="26" customFormat="1" ht="15" customHeight="1" x14ac:dyDescent="0.45">
      <c r="A617" s="28" t="s">
        <v>41</v>
      </c>
      <c r="B617" s="8" t="s">
        <v>56</v>
      </c>
      <c r="C617" s="8" t="s">
        <v>57</v>
      </c>
      <c r="D617" s="9"/>
      <c r="E617" s="9"/>
      <c r="F617" s="10"/>
      <c r="G617" s="11">
        <v>43615</v>
      </c>
      <c r="H617" s="51"/>
      <c r="I617" s="52"/>
      <c r="J617" s="51"/>
      <c r="K617" s="51"/>
      <c r="L617" s="9"/>
      <c r="M617" s="10" t="str">
        <f t="shared" si="102"/>
        <v>May-19</v>
      </c>
      <c r="N617" s="10" t="str">
        <f t="shared" si="98"/>
        <v>Jan-00</v>
      </c>
      <c r="O617" s="17" t="s">
        <v>1349</v>
      </c>
      <c r="P617" s="17" t="s">
        <v>370</v>
      </c>
      <c r="Q617" s="45">
        <v>1226.04</v>
      </c>
      <c r="R617" s="45"/>
      <c r="S617" s="45">
        <f t="shared" si="109"/>
        <v>1226.04</v>
      </c>
      <c r="T617" s="146">
        <f t="shared" si="108"/>
        <v>1348.644</v>
      </c>
      <c r="U617" s="65"/>
      <c r="V617" s="65"/>
      <c r="W617" s="21">
        <f t="shared" si="110"/>
        <v>0</v>
      </c>
      <c r="X617" s="22">
        <f t="shared" si="103"/>
        <v>1226.04</v>
      </c>
      <c r="Y617" s="35">
        <f t="shared" si="104"/>
        <v>1</v>
      </c>
      <c r="Z617" s="20"/>
      <c r="AA617" s="11"/>
      <c r="AB617" s="20"/>
      <c r="AC617" s="24" t="s">
        <v>73</v>
      </c>
      <c r="AD617" s="10" t="s">
        <v>47</v>
      </c>
      <c r="AE617" s="10">
        <v>43496</v>
      </c>
      <c r="AF617" s="63"/>
      <c r="AG617" s="10">
        <v>43573</v>
      </c>
      <c r="AH617" s="25">
        <f t="shared" si="100"/>
        <v>77</v>
      </c>
      <c r="AK617" s="27"/>
    </row>
    <row r="618" spans="1:37" s="26" customFormat="1" ht="15" customHeight="1" x14ac:dyDescent="0.45">
      <c r="A618" s="28" t="s">
        <v>774</v>
      </c>
      <c r="B618" s="8" t="s">
        <v>146</v>
      </c>
      <c r="C618" s="8" t="s">
        <v>36</v>
      </c>
      <c r="D618" s="9"/>
      <c r="E618" s="9"/>
      <c r="F618" s="10"/>
      <c r="G618" s="11">
        <v>43615</v>
      </c>
      <c r="H618" s="51"/>
      <c r="I618" s="52"/>
      <c r="J618" s="51"/>
      <c r="K618" s="51"/>
      <c r="L618" s="9"/>
      <c r="M618" s="10" t="str">
        <f t="shared" si="102"/>
        <v>May-19</v>
      </c>
      <c r="N618" s="10" t="str">
        <f t="shared" si="98"/>
        <v>Jan-00</v>
      </c>
      <c r="O618" s="113" t="s">
        <v>1350</v>
      </c>
      <c r="P618" s="113" t="s">
        <v>461</v>
      </c>
      <c r="Q618" s="45">
        <v>7131.2</v>
      </c>
      <c r="R618" s="45"/>
      <c r="S618" s="45">
        <f t="shared" si="109"/>
        <v>7131.2</v>
      </c>
      <c r="T618" s="146">
        <f t="shared" si="108"/>
        <v>7844.3200000000006</v>
      </c>
      <c r="U618" s="65">
        <v>1500</v>
      </c>
      <c r="V618" s="65"/>
      <c r="W618" s="21">
        <f t="shared" si="110"/>
        <v>1500</v>
      </c>
      <c r="X618" s="22">
        <f t="shared" si="103"/>
        <v>5631.2</v>
      </c>
      <c r="Y618" s="35">
        <f t="shared" si="104"/>
        <v>0.78965671976665919</v>
      </c>
      <c r="Z618" s="20"/>
      <c r="AA618" s="11"/>
      <c r="AB618" s="20"/>
      <c r="AC618" s="24" t="s">
        <v>73</v>
      </c>
      <c r="AD618" s="10" t="s">
        <v>47</v>
      </c>
      <c r="AE618" s="10">
        <v>43496</v>
      </c>
      <c r="AF618" s="63"/>
      <c r="AG618" s="10">
        <v>43578</v>
      </c>
      <c r="AH618" s="25">
        <f t="shared" si="100"/>
        <v>82</v>
      </c>
      <c r="AK618" s="27"/>
    </row>
    <row r="619" spans="1:37" s="26" customFormat="1" ht="15" customHeight="1" x14ac:dyDescent="0.45">
      <c r="A619" s="28" t="s">
        <v>41</v>
      </c>
      <c r="B619" s="8" t="s">
        <v>42</v>
      </c>
      <c r="C619" s="28" t="s">
        <v>43</v>
      </c>
      <c r="D619" s="9"/>
      <c r="E619" s="9"/>
      <c r="F619" s="10"/>
      <c r="G619" s="11">
        <v>43615</v>
      </c>
      <c r="H619" s="51"/>
      <c r="I619" s="52"/>
      <c r="J619" s="51"/>
      <c r="K619" s="51"/>
      <c r="L619" s="9"/>
      <c r="M619" s="10" t="str">
        <f t="shared" si="102"/>
        <v>May-19</v>
      </c>
      <c r="N619" s="10" t="str">
        <f t="shared" ref="N619:N682" si="111">TEXT(K619,"mmm-yy")</f>
        <v>Jan-00</v>
      </c>
      <c r="O619" s="17" t="s">
        <v>1351</v>
      </c>
      <c r="P619" s="17" t="s">
        <v>111</v>
      </c>
      <c r="Q619" s="45">
        <v>1966.52</v>
      </c>
      <c r="R619" s="45"/>
      <c r="S619" s="45">
        <f t="shared" si="109"/>
        <v>1966.52</v>
      </c>
      <c r="T619" s="146">
        <f t="shared" si="108"/>
        <v>2163.172</v>
      </c>
      <c r="U619" s="65">
        <v>300</v>
      </c>
      <c r="V619" s="65"/>
      <c r="W619" s="21">
        <f t="shared" si="110"/>
        <v>300</v>
      </c>
      <c r="X619" s="22">
        <f t="shared" si="103"/>
        <v>1666.52</v>
      </c>
      <c r="Y619" s="35">
        <f t="shared" si="104"/>
        <v>0.84744625022883058</v>
      </c>
      <c r="Z619" s="20"/>
      <c r="AA619" s="11"/>
      <c r="AB619" s="20"/>
      <c r="AC619" s="24" t="s">
        <v>73</v>
      </c>
      <c r="AD619" s="10" t="s">
        <v>47</v>
      </c>
      <c r="AE619" s="10">
        <v>43497</v>
      </c>
      <c r="AF619" s="63"/>
      <c r="AG619" s="10">
        <v>43574</v>
      </c>
      <c r="AH619" s="25">
        <f t="shared" ref="AH619:AH659" si="112">AG619-AE619</f>
        <v>77</v>
      </c>
      <c r="AK619" s="27"/>
    </row>
    <row r="620" spans="1:37" s="26" customFormat="1" ht="15" customHeight="1" x14ac:dyDescent="0.45">
      <c r="A620" s="28" t="s">
        <v>41</v>
      </c>
      <c r="B620" s="8" t="s">
        <v>512</v>
      </c>
      <c r="C620" s="28" t="s">
        <v>43</v>
      </c>
      <c r="D620" s="9"/>
      <c r="E620" s="9"/>
      <c r="F620" s="10"/>
      <c r="G620" s="11">
        <v>43615</v>
      </c>
      <c r="H620" s="51"/>
      <c r="I620" s="52"/>
      <c r="J620" s="51"/>
      <c r="K620" s="51"/>
      <c r="L620" s="9"/>
      <c r="M620" s="10" t="str">
        <f t="shared" si="102"/>
        <v>May-19</v>
      </c>
      <c r="N620" s="10" t="str">
        <f t="shared" si="111"/>
        <v>Jan-00</v>
      </c>
      <c r="O620" s="17" t="s">
        <v>1352</v>
      </c>
      <c r="P620" s="17" t="s">
        <v>1353</v>
      </c>
      <c r="Q620" s="45">
        <v>6306.89</v>
      </c>
      <c r="R620" s="45"/>
      <c r="S620" s="45">
        <f t="shared" si="109"/>
        <v>6306.89</v>
      </c>
      <c r="T620" s="146">
        <f t="shared" si="108"/>
        <v>6937.5790000000006</v>
      </c>
      <c r="U620" s="65"/>
      <c r="V620" s="65"/>
      <c r="W620" s="21">
        <f t="shared" ref="W620" si="113">SUM(U620:V620)</f>
        <v>0</v>
      </c>
      <c r="X620" s="22">
        <f t="shared" si="103"/>
        <v>6306.89</v>
      </c>
      <c r="Y620" s="35">
        <f t="shared" si="104"/>
        <v>1</v>
      </c>
      <c r="Z620" s="20"/>
      <c r="AA620" s="11"/>
      <c r="AB620" s="20"/>
      <c r="AC620" s="24" t="s">
        <v>73</v>
      </c>
      <c r="AD620" s="10"/>
      <c r="AE620" s="10">
        <v>43501</v>
      </c>
      <c r="AF620" s="63"/>
      <c r="AG620" s="10">
        <v>43572</v>
      </c>
      <c r="AH620" s="25">
        <f t="shared" si="112"/>
        <v>71</v>
      </c>
      <c r="AK620" s="27"/>
    </row>
    <row r="621" spans="1:37" s="26" customFormat="1" ht="15" customHeight="1" x14ac:dyDescent="0.45">
      <c r="A621" s="28" t="s">
        <v>41</v>
      </c>
      <c r="B621" s="8" t="s">
        <v>42</v>
      </c>
      <c r="C621" s="28" t="s">
        <v>43</v>
      </c>
      <c r="D621" s="9"/>
      <c r="E621" s="9"/>
      <c r="F621" s="10"/>
      <c r="G621" s="11">
        <v>43585</v>
      </c>
      <c r="H621" s="51"/>
      <c r="I621" s="52"/>
      <c r="J621" s="51"/>
      <c r="K621" s="51"/>
      <c r="L621" s="9"/>
      <c r="M621" s="10" t="str">
        <f t="shared" si="102"/>
        <v>Apr-19</v>
      </c>
      <c r="N621" s="10" t="str">
        <f t="shared" si="111"/>
        <v>Jan-00</v>
      </c>
      <c r="O621" s="17" t="s">
        <v>1354</v>
      </c>
      <c r="P621" s="17" t="s">
        <v>953</v>
      </c>
      <c r="Q621" s="45">
        <v>1339.96</v>
      </c>
      <c r="R621" s="45"/>
      <c r="S621" s="45">
        <f t="shared" ref="S621:S624" si="114">SUM(Q621:R621)</f>
        <v>1339.96</v>
      </c>
      <c r="T621" s="146">
        <f t="shared" si="108"/>
        <v>1473.9560000000001</v>
      </c>
      <c r="U621" s="65"/>
      <c r="V621" s="65"/>
      <c r="W621" s="21">
        <f t="shared" ref="W621:W638" si="115">SUM(U621:V621)</f>
        <v>0</v>
      </c>
      <c r="X621" s="22">
        <f t="shared" si="103"/>
        <v>1339.96</v>
      </c>
      <c r="Y621" s="35">
        <f t="shared" si="104"/>
        <v>1</v>
      </c>
      <c r="Z621" s="20"/>
      <c r="AA621" s="11"/>
      <c r="AB621" s="20"/>
      <c r="AC621" s="24" t="s">
        <v>73</v>
      </c>
      <c r="AD621" s="10" t="s">
        <v>47</v>
      </c>
      <c r="AE621" s="10">
        <v>43272</v>
      </c>
      <c r="AF621" s="63"/>
      <c r="AG621" s="10">
        <v>43357</v>
      </c>
      <c r="AH621" s="25">
        <f t="shared" si="112"/>
        <v>85</v>
      </c>
      <c r="AK621" s="27"/>
    </row>
    <row r="622" spans="1:37" s="26" customFormat="1" ht="15" customHeight="1" x14ac:dyDescent="0.45">
      <c r="A622" s="28" t="s">
        <v>802</v>
      </c>
      <c r="B622" s="8" t="s">
        <v>65</v>
      </c>
      <c r="C622" s="8" t="s">
        <v>57</v>
      </c>
      <c r="D622" s="9"/>
      <c r="E622" s="9"/>
      <c r="F622" s="10"/>
      <c r="G622" s="11">
        <v>43585</v>
      </c>
      <c r="H622" s="51"/>
      <c r="I622" s="52"/>
      <c r="J622" s="51"/>
      <c r="K622" s="51"/>
      <c r="L622" s="9"/>
      <c r="M622" s="10" t="str">
        <f t="shared" si="102"/>
        <v>Apr-19</v>
      </c>
      <c r="N622" s="10" t="str">
        <f t="shared" si="111"/>
        <v>Jan-00</v>
      </c>
      <c r="O622" s="17" t="s">
        <v>1355</v>
      </c>
      <c r="P622" s="17" t="s">
        <v>178</v>
      </c>
      <c r="Q622" s="45">
        <v>16268.92</v>
      </c>
      <c r="R622" s="45"/>
      <c r="S622" s="45">
        <f t="shared" si="114"/>
        <v>16268.92</v>
      </c>
      <c r="T622" s="146">
        <f t="shared" si="108"/>
        <v>17895.812000000002</v>
      </c>
      <c r="U622" s="65"/>
      <c r="V622" s="65"/>
      <c r="W622" s="21">
        <f t="shared" si="115"/>
        <v>0</v>
      </c>
      <c r="X622" s="22">
        <f t="shared" si="103"/>
        <v>16268.92</v>
      </c>
      <c r="Y622" s="35">
        <f t="shared" si="104"/>
        <v>1</v>
      </c>
      <c r="Z622" s="20"/>
      <c r="AA622" s="11"/>
      <c r="AB622" s="20"/>
      <c r="AC622" s="24" t="s">
        <v>128</v>
      </c>
      <c r="AD622" s="10">
        <v>43454</v>
      </c>
      <c r="AE622" s="10">
        <v>43503</v>
      </c>
      <c r="AF622" s="63">
        <f>AE622-AD622</f>
        <v>49</v>
      </c>
      <c r="AG622" s="10">
        <v>43564</v>
      </c>
      <c r="AH622" s="25">
        <f t="shared" si="112"/>
        <v>61</v>
      </c>
      <c r="AK622" s="27"/>
    </row>
    <row r="623" spans="1:37" s="26" customFormat="1" ht="15" customHeight="1" x14ac:dyDescent="0.45">
      <c r="A623" s="28" t="s">
        <v>41</v>
      </c>
      <c r="B623" s="8" t="s">
        <v>100</v>
      </c>
      <c r="C623" s="8" t="s">
        <v>57</v>
      </c>
      <c r="D623" s="9"/>
      <c r="E623" s="9"/>
      <c r="F623" s="10"/>
      <c r="G623" s="11">
        <v>43585</v>
      </c>
      <c r="H623" s="51"/>
      <c r="I623" s="52"/>
      <c r="J623" s="51"/>
      <c r="K623" s="51"/>
      <c r="L623" s="10"/>
      <c r="M623" s="10" t="str">
        <f t="shared" si="102"/>
        <v>Apr-19</v>
      </c>
      <c r="N623" s="10" t="str">
        <f t="shared" si="111"/>
        <v>Jan-00</v>
      </c>
      <c r="O623" s="17" t="s">
        <v>1356</v>
      </c>
      <c r="P623" s="17" t="s">
        <v>464</v>
      </c>
      <c r="Q623" s="45">
        <v>1990.11</v>
      </c>
      <c r="R623" s="45"/>
      <c r="S623" s="45">
        <f t="shared" si="114"/>
        <v>1990.11</v>
      </c>
      <c r="T623" s="146">
        <f t="shared" si="108"/>
        <v>2189.1210000000001</v>
      </c>
      <c r="U623" s="65"/>
      <c r="V623" s="65"/>
      <c r="W623" s="21">
        <f t="shared" si="115"/>
        <v>0</v>
      </c>
      <c r="X623" s="22">
        <f t="shared" si="103"/>
        <v>1990.11</v>
      </c>
      <c r="Y623" s="35">
        <f t="shared" si="104"/>
        <v>1</v>
      </c>
      <c r="Z623" s="20"/>
      <c r="AA623" s="11"/>
      <c r="AB623" s="20"/>
      <c r="AC623" s="24" t="s">
        <v>73</v>
      </c>
      <c r="AD623" s="10" t="s">
        <v>47</v>
      </c>
      <c r="AE623" s="10">
        <v>43508</v>
      </c>
      <c r="AF623" s="63"/>
      <c r="AG623" s="10">
        <v>43543</v>
      </c>
      <c r="AH623" s="25">
        <f t="shared" si="112"/>
        <v>35</v>
      </c>
      <c r="AK623" s="27"/>
    </row>
    <row r="624" spans="1:37" s="26" customFormat="1" ht="15" customHeight="1" x14ac:dyDescent="0.45">
      <c r="A624" s="28" t="s">
        <v>41</v>
      </c>
      <c r="B624" s="8" t="s">
        <v>56</v>
      </c>
      <c r="C624" s="8" t="s">
        <v>57</v>
      </c>
      <c r="D624" s="9"/>
      <c r="E624" s="9"/>
      <c r="F624" s="10"/>
      <c r="G624" s="11">
        <v>43615</v>
      </c>
      <c r="H624" s="51"/>
      <c r="I624" s="52"/>
      <c r="J624" s="51"/>
      <c r="K624" s="51"/>
      <c r="L624" s="9"/>
      <c r="M624" s="10" t="str">
        <f t="shared" si="102"/>
        <v>May-19</v>
      </c>
      <c r="N624" s="10" t="str">
        <f t="shared" si="111"/>
        <v>Jan-00</v>
      </c>
      <c r="O624" s="17" t="s">
        <v>1357</v>
      </c>
      <c r="P624" s="17" t="s">
        <v>1358</v>
      </c>
      <c r="Q624" s="45">
        <v>1006.06</v>
      </c>
      <c r="R624" s="45"/>
      <c r="S624" s="45">
        <f t="shared" si="114"/>
        <v>1006.06</v>
      </c>
      <c r="T624" s="146">
        <f t="shared" si="108"/>
        <v>1106.6659999999999</v>
      </c>
      <c r="U624" s="65"/>
      <c r="V624" s="65"/>
      <c r="W624" s="21">
        <f t="shared" si="115"/>
        <v>0</v>
      </c>
      <c r="X624" s="22">
        <f t="shared" si="103"/>
        <v>1006.06</v>
      </c>
      <c r="Y624" s="35">
        <f t="shared" si="104"/>
        <v>1</v>
      </c>
      <c r="Z624" s="20"/>
      <c r="AA624" s="11"/>
      <c r="AB624" s="20"/>
      <c r="AC624" s="24" t="s">
        <v>73</v>
      </c>
      <c r="AD624" s="10" t="s">
        <v>47</v>
      </c>
      <c r="AE624" s="10">
        <v>43508</v>
      </c>
      <c r="AF624" s="63"/>
      <c r="AG624" s="10">
        <v>43584</v>
      </c>
      <c r="AH624" s="25">
        <f t="shared" si="112"/>
        <v>76</v>
      </c>
      <c r="AK624" s="27"/>
    </row>
    <row r="625" spans="1:37" s="26" customFormat="1" ht="15" customHeight="1" x14ac:dyDescent="0.45">
      <c r="A625" s="28" t="s">
        <v>41</v>
      </c>
      <c r="B625" s="8" t="s">
        <v>146</v>
      </c>
      <c r="C625" s="8" t="s">
        <v>36</v>
      </c>
      <c r="D625" s="9"/>
      <c r="E625" s="9"/>
      <c r="F625" s="10"/>
      <c r="G625" s="11">
        <v>43615</v>
      </c>
      <c r="H625" s="51"/>
      <c r="I625" s="52"/>
      <c r="J625" s="51"/>
      <c r="K625" s="51"/>
      <c r="L625" s="9"/>
      <c r="M625" s="10" t="str">
        <f t="shared" si="102"/>
        <v>May-19</v>
      </c>
      <c r="N625" s="10" t="str">
        <f t="shared" si="111"/>
        <v>Jan-00</v>
      </c>
      <c r="O625" s="17" t="s">
        <v>1359</v>
      </c>
      <c r="P625" s="17" t="s">
        <v>1360</v>
      </c>
      <c r="Q625" s="45">
        <v>1611.29</v>
      </c>
      <c r="R625" s="45"/>
      <c r="S625" s="45">
        <f t="shared" ref="S625:S626" si="116">SUM(Q625:R625)</f>
        <v>1611.29</v>
      </c>
      <c r="T625" s="146">
        <f t="shared" si="108"/>
        <v>1772.4190000000001</v>
      </c>
      <c r="U625" s="65"/>
      <c r="V625" s="65"/>
      <c r="W625" s="21">
        <f t="shared" si="115"/>
        <v>0</v>
      </c>
      <c r="X625" s="22">
        <f t="shared" si="103"/>
        <v>1611.29</v>
      </c>
      <c r="Y625" s="35">
        <f t="shared" si="104"/>
        <v>1</v>
      </c>
      <c r="Z625" s="20"/>
      <c r="AA625" s="11"/>
      <c r="AB625" s="20"/>
      <c r="AC625" s="24" t="s">
        <v>73</v>
      </c>
      <c r="AD625" s="10" t="s">
        <v>47</v>
      </c>
      <c r="AE625" s="10">
        <v>43508</v>
      </c>
      <c r="AF625" s="63"/>
      <c r="AG625" s="10">
        <v>43584</v>
      </c>
      <c r="AH625" s="25">
        <f t="shared" si="112"/>
        <v>76</v>
      </c>
      <c r="AK625" s="27"/>
    </row>
    <row r="626" spans="1:37" s="26" customFormat="1" ht="15" customHeight="1" x14ac:dyDescent="0.45">
      <c r="A626" s="28" t="s">
        <v>41</v>
      </c>
      <c r="B626" s="8" t="s">
        <v>100</v>
      </c>
      <c r="C626" s="8" t="s">
        <v>57</v>
      </c>
      <c r="D626" s="9"/>
      <c r="E626" s="9"/>
      <c r="F626" s="10"/>
      <c r="G626" s="11">
        <v>43615</v>
      </c>
      <c r="H626" s="51"/>
      <c r="I626" s="52"/>
      <c r="J626" s="51"/>
      <c r="K626" s="51"/>
      <c r="L626" s="9"/>
      <c r="M626" s="10" t="str">
        <f t="shared" si="102"/>
        <v>May-19</v>
      </c>
      <c r="N626" s="10" t="str">
        <f t="shared" si="111"/>
        <v>Jan-00</v>
      </c>
      <c r="O626" s="17" t="s">
        <v>1361</v>
      </c>
      <c r="P626" s="17" t="s">
        <v>1362</v>
      </c>
      <c r="Q626" s="45">
        <v>1742.49</v>
      </c>
      <c r="R626" s="45"/>
      <c r="S626" s="45">
        <f t="shared" si="116"/>
        <v>1742.49</v>
      </c>
      <c r="T626" s="146">
        <f t="shared" si="108"/>
        <v>1916.7390000000003</v>
      </c>
      <c r="U626" s="65"/>
      <c r="V626" s="65"/>
      <c r="W626" s="21">
        <f t="shared" si="115"/>
        <v>0</v>
      </c>
      <c r="X626" s="22">
        <f t="shared" si="103"/>
        <v>1742.49</v>
      </c>
      <c r="Y626" s="35">
        <f t="shared" si="104"/>
        <v>1</v>
      </c>
      <c r="Z626" s="20"/>
      <c r="AA626" s="11"/>
      <c r="AB626" s="20"/>
      <c r="AC626" s="24" t="s">
        <v>73</v>
      </c>
      <c r="AD626" s="10" t="s">
        <v>47</v>
      </c>
      <c r="AE626" s="10">
        <v>43510</v>
      </c>
      <c r="AF626" s="63"/>
      <c r="AG626" s="10">
        <v>43584</v>
      </c>
      <c r="AH626" s="25">
        <f t="shared" si="112"/>
        <v>74</v>
      </c>
      <c r="AK626" s="27"/>
    </row>
    <row r="627" spans="1:37" s="26" customFormat="1" ht="15" customHeight="1" x14ac:dyDescent="0.45">
      <c r="A627" s="28" t="s">
        <v>41</v>
      </c>
      <c r="B627" s="8" t="s">
        <v>146</v>
      </c>
      <c r="C627" s="8" t="s">
        <v>36</v>
      </c>
      <c r="D627" s="9"/>
      <c r="E627" s="9"/>
      <c r="F627" s="10"/>
      <c r="G627" s="11">
        <v>43615</v>
      </c>
      <c r="H627" s="51"/>
      <c r="I627" s="52"/>
      <c r="J627" s="51"/>
      <c r="K627" s="51"/>
      <c r="L627" s="9"/>
      <c r="M627" s="10" t="str">
        <f t="shared" si="102"/>
        <v>May-19</v>
      </c>
      <c r="N627" s="10" t="str">
        <f t="shared" si="111"/>
        <v>Jan-00</v>
      </c>
      <c r="O627" s="17" t="s">
        <v>1363</v>
      </c>
      <c r="P627" s="17" t="s">
        <v>860</v>
      </c>
      <c r="Q627" s="45">
        <v>3453.05</v>
      </c>
      <c r="R627" s="45"/>
      <c r="S627" s="45">
        <f t="shared" ref="S627" si="117">SUM(Q627:R627)</f>
        <v>3453.05</v>
      </c>
      <c r="T627" s="146">
        <f t="shared" si="108"/>
        <v>3798.3550000000005</v>
      </c>
      <c r="U627" s="65"/>
      <c r="V627" s="65"/>
      <c r="W627" s="21">
        <f t="shared" si="115"/>
        <v>0</v>
      </c>
      <c r="X627" s="22">
        <f t="shared" si="103"/>
        <v>3453.05</v>
      </c>
      <c r="Y627" s="35">
        <f t="shared" si="104"/>
        <v>1</v>
      </c>
      <c r="Z627" s="20"/>
      <c r="AA627" s="11"/>
      <c r="AB627" s="20"/>
      <c r="AC627" s="24" t="s">
        <v>73</v>
      </c>
      <c r="AD627" s="10" t="s">
        <v>47</v>
      </c>
      <c r="AE627" s="10">
        <v>43510</v>
      </c>
      <c r="AF627" s="63"/>
      <c r="AG627" s="10">
        <v>43588</v>
      </c>
      <c r="AH627" s="25">
        <f t="shared" si="112"/>
        <v>78</v>
      </c>
      <c r="AK627" s="27"/>
    </row>
    <row r="628" spans="1:37" s="26" customFormat="1" ht="15" customHeight="1" x14ac:dyDescent="0.45">
      <c r="A628" s="28" t="s">
        <v>41</v>
      </c>
      <c r="B628" s="8" t="s">
        <v>42</v>
      </c>
      <c r="C628" s="28" t="s">
        <v>43</v>
      </c>
      <c r="D628" s="9"/>
      <c r="E628" s="9"/>
      <c r="F628" s="10"/>
      <c r="G628" s="11">
        <v>43646</v>
      </c>
      <c r="H628" s="51"/>
      <c r="I628" s="52"/>
      <c r="J628" s="51"/>
      <c r="K628" s="51"/>
      <c r="L628" s="9"/>
      <c r="M628" s="10" t="str">
        <f t="shared" si="102"/>
        <v>Jun-19</v>
      </c>
      <c r="N628" s="10" t="str">
        <f t="shared" si="111"/>
        <v>Jan-00</v>
      </c>
      <c r="O628" s="17" t="s">
        <v>1364</v>
      </c>
      <c r="P628" s="17" t="s">
        <v>1365</v>
      </c>
      <c r="Q628" s="45">
        <v>856.8</v>
      </c>
      <c r="R628" s="45"/>
      <c r="S628" s="45">
        <f t="shared" ref="S628" si="118">SUM(Q628:R628)</f>
        <v>856.8</v>
      </c>
      <c r="T628" s="146">
        <f t="shared" si="108"/>
        <v>942.48</v>
      </c>
      <c r="U628" s="65"/>
      <c r="V628" s="65"/>
      <c r="W628" s="21">
        <f t="shared" si="115"/>
        <v>0</v>
      </c>
      <c r="X628" s="22">
        <f t="shared" si="103"/>
        <v>856.8</v>
      </c>
      <c r="Y628" s="35">
        <f t="shared" si="104"/>
        <v>1</v>
      </c>
      <c r="Z628" s="20"/>
      <c r="AA628" s="11"/>
      <c r="AB628" s="20"/>
      <c r="AC628" s="24" t="s">
        <v>73</v>
      </c>
      <c r="AD628" s="10" t="s">
        <v>47</v>
      </c>
      <c r="AE628" s="10">
        <v>43511</v>
      </c>
      <c r="AF628" s="63"/>
      <c r="AG628" s="10">
        <v>43616</v>
      </c>
      <c r="AH628" s="25">
        <f t="shared" si="112"/>
        <v>105</v>
      </c>
      <c r="AK628" s="27"/>
    </row>
    <row r="629" spans="1:37" s="26" customFormat="1" ht="15" customHeight="1" x14ac:dyDescent="0.45">
      <c r="A629" s="28" t="s">
        <v>41</v>
      </c>
      <c r="B629" s="8" t="s">
        <v>100</v>
      </c>
      <c r="C629" s="8" t="s">
        <v>57</v>
      </c>
      <c r="D629" s="9"/>
      <c r="E629" s="9"/>
      <c r="F629" s="10">
        <v>43542</v>
      </c>
      <c r="G629" s="11">
        <v>43542</v>
      </c>
      <c r="H629" s="67"/>
      <c r="I629" s="68"/>
      <c r="J629" s="51">
        <f>G629+14</f>
        <v>43556</v>
      </c>
      <c r="K629" s="51">
        <f>J629+14</f>
        <v>43570</v>
      </c>
      <c r="L629" s="9"/>
      <c r="M629" s="10" t="str">
        <f t="shared" si="102"/>
        <v>Mar-19</v>
      </c>
      <c r="N629" s="10" t="str">
        <f t="shared" si="111"/>
        <v>Apr-19</v>
      </c>
      <c r="O629" s="17" t="s">
        <v>1366</v>
      </c>
      <c r="P629" s="17" t="s">
        <v>108</v>
      </c>
      <c r="Q629" s="45">
        <v>3980.2</v>
      </c>
      <c r="R629" s="73"/>
      <c r="S629" s="45">
        <f t="shared" ref="S629" si="119">SUM(Q629:R629)</f>
        <v>3980.2</v>
      </c>
      <c r="T629" s="146">
        <f t="shared" si="108"/>
        <v>4378.22</v>
      </c>
      <c r="U629" s="65"/>
      <c r="V629" s="65"/>
      <c r="W629" s="21">
        <f t="shared" si="115"/>
        <v>0</v>
      </c>
      <c r="X629" s="22">
        <f t="shared" si="103"/>
        <v>3980.2</v>
      </c>
      <c r="Y629" s="35">
        <f t="shared" si="104"/>
        <v>1</v>
      </c>
      <c r="Z629" s="20"/>
      <c r="AA629" s="11"/>
      <c r="AB629" s="20"/>
      <c r="AC629" s="24" t="s">
        <v>73</v>
      </c>
      <c r="AD629" s="10" t="s">
        <v>47</v>
      </c>
      <c r="AE629" s="10">
        <v>43515</v>
      </c>
      <c r="AF629" s="63"/>
      <c r="AG629" s="10">
        <v>43586</v>
      </c>
      <c r="AH629" s="25">
        <f t="shared" si="112"/>
        <v>71</v>
      </c>
      <c r="AK629" s="27"/>
    </row>
    <row r="630" spans="1:37" s="26" customFormat="1" ht="15" customHeight="1" x14ac:dyDescent="0.45">
      <c r="A630" s="28" t="s">
        <v>41</v>
      </c>
      <c r="B630" s="8" t="s">
        <v>56</v>
      </c>
      <c r="C630" s="8" t="s">
        <v>57</v>
      </c>
      <c r="D630" s="9"/>
      <c r="E630" s="9"/>
      <c r="F630" s="10">
        <v>43516</v>
      </c>
      <c r="G630" s="11">
        <v>43516</v>
      </c>
      <c r="H630" s="14">
        <v>43516</v>
      </c>
      <c r="I630" s="54">
        <v>43522</v>
      </c>
      <c r="J630" s="14">
        <f>G630+14</f>
        <v>43530</v>
      </c>
      <c r="K630" s="51">
        <f>J630+14</f>
        <v>43544</v>
      </c>
      <c r="L630" s="9"/>
      <c r="M630" s="10" t="str">
        <f t="shared" si="102"/>
        <v>Feb-19</v>
      </c>
      <c r="N630" s="10" t="str">
        <f t="shared" si="111"/>
        <v>Mar-19</v>
      </c>
      <c r="O630" s="17" t="s">
        <v>1367</v>
      </c>
      <c r="P630" s="17" t="s">
        <v>623</v>
      </c>
      <c r="Q630" s="45">
        <v>4527.3900000000003</v>
      </c>
      <c r="R630" s="45">
        <v>19099.376999999997</v>
      </c>
      <c r="S630" s="45">
        <f t="shared" ref="S630:S631" si="120">SUM(Q630:R630)</f>
        <v>23626.766999999996</v>
      </c>
      <c r="T630" s="146">
        <f t="shared" si="108"/>
        <v>25989.443699999996</v>
      </c>
      <c r="U630" s="65">
        <v>3510.43</v>
      </c>
      <c r="V630" s="65"/>
      <c r="W630" s="21">
        <f t="shared" si="115"/>
        <v>3510.43</v>
      </c>
      <c r="X630" s="22">
        <f t="shared" si="103"/>
        <v>20116.336999999996</v>
      </c>
      <c r="Y630" s="35">
        <f t="shared" si="104"/>
        <v>0.85142148310007881</v>
      </c>
      <c r="Z630" s="20"/>
      <c r="AA630" s="11"/>
      <c r="AB630" s="20"/>
      <c r="AC630" s="24" t="s">
        <v>69</v>
      </c>
      <c r="AD630" s="10">
        <v>43388</v>
      </c>
      <c r="AE630" s="10">
        <v>43412</v>
      </c>
      <c r="AF630" s="63">
        <f>AE630-AD630</f>
        <v>24</v>
      </c>
      <c r="AG630" s="10">
        <v>43466</v>
      </c>
      <c r="AH630" s="25">
        <f t="shared" si="112"/>
        <v>54</v>
      </c>
      <c r="AK630" s="27"/>
    </row>
    <row r="631" spans="1:37" s="26" customFormat="1" ht="15" customHeight="1" x14ac:dyDescent="0.45">
      <c r="A631" s="152" t="s">
        <v>1368</v>
      </c>
      <c r="B631" s="8" t="s">
        <v>129</v>
      </c>
      <c r="C631" s="8" t="s">
        <v>57</v>
      </c>
      <c r="D631" s="9"/>
      <c r="E631" s="9"/>
      <c r="F631" s="10"/>
      <c r="G631" s="11">
        <v>43646</v>
      </c>
      <c r="H631" s="51"/>
      <c r="I631" s="52"/>
      <c r="J631" s="51"/>
      <c r="K631" s="51"/>
      <c r="L631" s="9"/>
      <c r="M631" s="10" t="str">
        <f t="shared" si="102"/>
        <v>Jun-19</v>
      </c>
      <c r="N631" s="10" t="str">
        <f t="shared" si="111"/>
        <v>Jan-00</v>
      </c>
      <c r="O631" s="153" t="s">
        <v>1369</v>
      </c>
      <c r="P631" s="153" t="s">
        <v>1370</v>
      </c>
      <c r="Q631" s="45">
        <v>3529.87</v>
      </c>
      <c r="R631" s="45"/>
      <c r="S631" s="45">
        <f t="shared" si="120"/>
        <v>3529.87</v>
      </c>
      <c r="T631" s="146">
        <f t="shared" si="108"/>
        <v>3882.857</v>
      </c>
      <c r="U631" s="65"/>
      <c r="V631" s="65"/>
      <c r="W631" s="21">
        <f t="shared" si="115"/>
        <v>0</v>
      </c>
      <c r="X631" s="22">
        <f t="shared" si="103"/>
        <v>3529.87</v>
      </c>
      <c r="Y631" s="35">
        <f t="shared" si="104"/>
        <v>1</v>
      </c>
      <c r="Z631" s="20"/>
      <c r="AA631" s="11"/>
      <c r="AB631" s="20"/>
      <c r="AC631" s="24" t="s">
        <v>73</v>
      </c>
      <c r="AD631" s="10" t="s">
        <v>47</v>
      </c>
      <c r="AE631" s="10">
        <v>43523</v>
      </c>
      <c r="AF631" s="63"/>
      <c r="AG631" s="10">
        <v>43617</v>
      </c>
      <c r="AH631" s="25">
        <f t="shared" si="112"/>
        <v>94</v>
      </c>
      <c r="AK631" s="27"/>
    </row>
    <row r="632" spans="1:37" s="26" customFormat="1" ht="15" customHeight="1" x14ac:dyDescent="0.45">
      <c r="A632" s="152" t="s">
        <v>1368</v>
      </c>
      <c r="B632" s="8" t="s">
        <v>512</v>
      </c>
      <c r="C632" s="8" t="s">
        <v>36</v>
      </c>
      <c r="D632" s="9"/>
      <c r="E632" s="9"/>
      <c r="F632" s="10"/>
      <c r="G632" s="11">
        <v>43646</v>
      </c>
      <c r="H632" s="51"/>
      <c r="I632" s="52"/>
      <c r="J632" s="51"/>
      <c r="K632" s="51"/>
      <c r="L632" s="9"/>
      <c r="M632" s="10" t="str">
        <f t="shared" si="102"/>
        <v>Jun-19</v>
      </c>
      <c r="N632" s="10" t="str">
        <f t="shared" si="111"/>
        <v>Jan-00</v>
      </c>
      <c r="O632" s="153" t="s">
        <v>1371</v>
      </c>
      <c r="P632" s="153" t="s">
        <v>1372</v>
      </c>
      <c r="Q632" s="45">
        <f>16811.84-Q684</f>
        <v>11768.29</v>
      </c>
      <c r="R632" s="45"/>
      <c r="S632" s="45">
        <f t="shared" ref="S632" si="121">SUM(Q632:R632)</f>
        <v>11768.29</v>
      </c>
      <c r="T632" s="146">
        <f t="shared" si="108"/>
        <v>12945.119000000002</v>
      </c>
      <c r="U632" s="65"/>
      <c r="V632" s="65"/>
      <c r="W632" s="21">
        <f t="shared" si="115"/>
        <v>0</v>
      </c>
      <c r="X632" s="22">
        <f t="shared" si="103"/>
        <v>11768.29</v>
      </c>
      <c r="Y632" s="35">
        <f t="shared" si="104"/>
        <v>1</v>
      </c>
      <c r="Z632" s="20"/>
      <c r="AA632" s="11"/>
      <c r="AB632" s="20"/>
      <c r="AC632" s="154"/>
      <c r="AD632" s="155"/>
      <c r="AE632" s="155"/>
      <c r="AF632" s="63"/>
      <c r="AG632" s="10">
        <v>43617</v>
      </c>
      <c r="AH632" s="25">
        <f t="shared" si="112"/>
        <v>43617</v>
      </c>
      <c r="AK632" s="27"/>
    </row>
    <row r="633" spans="1:37" s="26" customFormat="1" ht="15" customHeight="1" x14ac:dyDescent="0.45">
      <c r="A633" s="152" t="s">
        <v>1368</v>
      </c>
      <c r="B633" s="8" t="s">
        <v>56</v>
      </c>
      <c r="C633" s="8" t="s">
        <v>57</v>
      </c>
      <c r="D633" s="9"/>
      <c r="E633" s="9"/>
      <c r="F633" s="10"/>
      <c r="G633" s="11">
        <v>43615</v>
      </c>
      <c r="H633" s="51"/>
      <c r="I633" s="52"/>
      <c r="J633" s="51"/>
      <c r="K633" s="51"/>
      <c r="L633" s="9"/>
      <c r="M633" s="10" t="str">
        <f t="shared" si="102"/>
        <v>May-19</v>
      </c>
      <c r="N633" s="10" t="str">
        <f t="shared" si="111"/>
        <v>Jan-00</v>
      </c>
      <c r="O633" s="153" t="s">
        <v>1373</v>
      </c>
      <c r="P633" s="153" t="s">
        <v>783</v>
      </c>
      <c r="Q633" s="45">
        <v>2307.6</v>
      </c>
      <c r="R633" s="45"/>
      <c r="S633" s="45">
        <f t="shared" ref="S633:S634" si="122">SUM(Q633:R633)</f>
        <v>2307.6</v>
      </c>
      <c r="T633" s="146">
        <f t="shared" si="108"/>
        <v>2538.36</v>
      </c>
      <c r="U633" s="65"/>
      <c r="V633" s="65"/>
      <c r="W633" s="21">
        <f t="shared" si="115"/>
        <v>0</v>
      </c>
      <c r="X633" s="22">
        <f t="shared" si="103"/>
        <v>2307.6</v>
      </c>
      <c r="Y633" s="35">
        <f t="shared" si="104"/>
        <v>1</v>
      </c>
      <c r="Z633" s="20"/>
      <c r="AA633" s="11"/>
      <c r="AB633" s="20"/>
      <c r="AC633" s="154"/>
      <c r="AD633" s="10" t="s">
        <v>47</v>
      </c>
      <c r="AE633" s="10">
        <v>43528</v>
      </c>
      <c r="AF633" s="63"/>
      <c r="AG633" s="10">
        <v>43585</v>
      </c>
      <c r="AH633" s="25">
        <f t="shared" si="112"/>
        <v>57</v>
      </c>
      <c r="AK633" s="27"/>
    </row>
    <row r="634" spans="1:37" s="26" customFormat="1" ht="15" customHeight="1" x14ac:dyDescent="0.45">
      <c r="A634" s="152" t="s">
        <v>1368</v>
      </c>
      <c r="B634" s="8" t="s">
        <v>100</v>
      </c>
      <c r="C634" s="8" t="s">
        <v>57</v>
      </c>
      <c r="D634" s="9"/>
      <c r="E634" s="9"/>
      <c r="F634" s="10"/>
      <c r="G634" s="11">
        <v>43615</v>
      </c>
      <c r="H634" s="51"/>
      <c r="I634" s="52"/>
      <c r="J634" s="51"/>
      <c r="K634" s="51"/>
      <c r="L634" s="9"/>
      <c r="M634" s="10" t="str">
        <f t="shared" si="102"/>
        <v>May-19</v>
      </c>
      <c r="N634" s="10" t="str">
        <f t="shared" si="111"/>
        <v>Jan-00</v>
      </c>
      <c r="O634" s="153" t="s">
        <v>1374</v>
      </c>
      <c r="P634" s="153" t="s">
        <v>1375</v>
      </c>
      <c r="Q634" s="45">
        <v>1656.01</v>
      </c>
      <c r="R634" s="45"/>
      <c r="S634" s="45">
        <f t="shared" si="122"/>
        <v>1656.01</v>
      </c>
      <c r="T634" s="146">
        <f t="shared" si="108"/>
        <v>1821.6110000000001</v>
      </c>
      <c r="U634" s="65"/>
      <c r="V634" s="65"/>
      <c r="W634" s="21">
        <f t="shared" si="115"/>
        <v>0</v>
      </c>
      <c r="X634" s="22">
        <f t="shared" si="103"/>
        <v>1656.01</v>
      </c>
      <c r="Y634" s="35">
        <f t="shared" si="104"/>
        <v>1</v>
      </c>
      <c r="Z634" s="20"/>
      <c r="AA634" s="11"/>
      <c r="AB634" s="20"/>
      <c r="AC634" s="154"/>
      <c r="AD634" s="10" t="s">
        <v>47</v>
      </c>
      <c r="AE634" s="10">
        <v>43517</v>
      </c>
      <c r="AF634" s="63"/>
      <c r="AG634" s="10">
        <v>43599</v>
      </c>
      <c r="AH634" s="25">
        <f t="shared" si="112"/>
        <v>82</v>
      </c>
      <c r="AK634" s="27"/>
    </row>
    <row r="635" spans="1:37" s="26" customFormat="1" ht="15" customHeight="1" x14ac:dyDescent="0.45">
      <c r="A635" s="28" t="s">
        <v>802</v>
      </c>
      <c r="B635" s="8" t="s">
        <v>146</v>
      </c>
      <c r="C635" s="8" t="s">
        <v>36</v>
      </c>
      <c r="D635" s="9"/>
      <c r="E635" s="9"/>
      <c r="F635" s="10"/>
      <c r="G635" s="11">
        <v>43615</v>
      </c>
      <c r="H635" s="51"/>
      <c r="I635" s="52"/>
      <c r="J635" s="51"/>
      <c r="K635" s="51"/>
      <c r="L635" s="9"/>
      <c r="M635" s="10" t="str">
        <f t="shared" si="102"/>
        <v>May-19</v>
      </c>
      <c r="N635" s="10" t="str">
        <f t="shared" si="111"/>
        <v>Jan-00</v>
      </c>
      <c r="O635" s="130" t="s">
        <v>1376</v>
      </c>
      <c r="P635" s="130" t="s">
        <v>1377</v>
      </c>
      <c r="Q635" s="45">
        <v>7526.78</v>
      </c>
      <c r="R635" s="45"/>
      <c r="S635" s="45">
        <f t="shared" ref="S635:S637" si="123">SUM(Q635:R635)</f>
        <v>7526.78</v>
      </c>
      <c r="T635" s="146">
        <f t="shared" si="108"/>
        <v>8279.4580000000005</v>
      </c>
      <c r="U635" s="65">
        <v>859.38</v>
      </c>
      <c r="V635" s="65"/>
      <c r="W635" s="21">
        <f t="shared" si="115"/>
        <v>859.38</v>
      </c>
      <c r="X635" s="22">
        <f t="shared" si="103"/>
        <v>6667.4</v>
      </c>
      <c r="Y635" s="35">
        <f t="shared" si="104"/>
        <v>0.88582368556009339</v>
      </c>
      <c r="Z635" s="20"/>
      <c r="AA635" s="11"/>
      <c r="AB635" s="20"/>
      <c r="AC635" s="24" t="s">
        <v>128</v>
      </c>
      <c r="AD635" s="10">
        <v>43514</v>
      </c>
      <c r="AE635" s="10">
        <v>43523</v>
      </c>
      <c r="AF635" s="63">
        <f t="shared" ref="AF635:AF637" si="124">AE635-AD635</f>
        <v>9</v>
      </c>
      <c r="AG635" s="10">
        <v>43586</v>
      </c>
      <c r="AH635" s="25">
        <f t="shared" si="112"/>
        <v>63</v>
      </c>
      <c r="AK635" s="27"/>
    </row>
    <row r="636" spans="1:37" s="26" customFormat="1" ht="15" customHeight="1" x14ac:dyDescent="0.45">
      <c r="A636" s="28" t="s">
        <v>802</v>
      </c>
      <c r="B636" s="8" t="s">
        <v>146</v>
      </c>
      <c r="C636" s="8" t="s">
        <v>36</v>
      </c>
      <c r="D636" s="9"/>
      <c r="E636" s="9"/>
      <c r="F636" s="10"/>
      <c r="G636" s="11">
        <v>43615</v>
      </c>
      <c r="H636" s="51"/>
      <c r="I636" s="52"/>
      <c r="J636" s="51"/>
      <c r="K636" s="51"/>
      <c r="L636" s="9"/>
      <c r="M636" s="10" t="str">
        <f t="shared" si="102"/>
        <v>May-19</v>
      </c>
      <c r="N636" s="10" t="str">
        <f t="shared" si="111"/>
        <v>Jan-00</v>
      </c>
      <c r="O636" s="130" t="s">
        <v>1378</v>
      </c>
      <c r="P636" s="130" t="s">
        <v>1241</v>
      </c>
      <c r="Q636" s="45">
        <v>10927.04</v>
      </c>
      <c r="R636" s="45"/>
      <c r="S636" s="45">
        <f t="shared" si="123"/>
        <v>10927.04</v>
      </c>
      <c r="T636" s="146">
        <f t="shared" si="108"/>
        <v>12019.744000000002</v>
      </c>
      <c r="U636" s="65"/>
      <c r="V636" s="65"/>
      <c r="W636" s="21">
        <f t="shared" si="115"/>
        <v>0</v>
      </c>
      <c r="X636" s="22">
        <f t="shared" si="103"/>
        <v>10927.04</v>
      </c>
      <c r="Y636" s="35">
        <f t="shared" si="104"/>
        <v>1</v>
      </c>
      <c r="Z636" s="20"/>
      <c r="AA636" s="11"/>
      <c r="AB636" s="20"/>
      <c r="AC636" s="24" t="s">
        <v>128</v>
      </c>
      <c r="AD636" s="10">
        <v>43514</v>
      </c>
      <c r="AE636" s="10">
        <v>43522</v>
      </c>
      <c r="AF636" s="63">
        <f t="shared" si="124"/>
        <v>8</v>
      </c>
      <c r="AG636" s="10">
        <v>43586</v>
      </c>
      <c r="AH636" s="25">
        <f t="shared" si="112"/>
        <v>64</v>
      </c>
      <c r="AK636" s="27"/>
    </row>
    <row r="637" spans="1:37" s="26" customFormat="1" ht="15" customHeight="1" x14ac:dyDescent="0.45">
      <c r="A637" s="28" t="s">
        <v>802</v>
      </c>
      <c r="B637" s="8" t="s">
        <v>146</v>
      </c>
      <c r="C637" s="8" t="s">
        <v>36</v>
      </c>
      <c r="D637" s="9"/>
      <c r="E637" s="9"/>
      <c r="F637" s="10"/>
      <c r="G637" s="11">
        <v>43615</v>
      </c>
      <c r="H637" s="51"/>
      <c r="I637" s="52"/>
      <c r="J637" s="51"/>
      <c r="K637" s="51"/>
      <c r="L637" s="9"/>
      <c r="M637" s="10" t="str">
        <f t="shared" si="102"/>
        <v>May-19</v>
      </c>
      <c r="N637" s="10" t="str">
        <f t="shared" si="111"/>
        <v>Jan-00</v>
      </c>
      <c r="O637" s="130" t="s">
        <v>1379</v>
      </c>
      <c r="P637" s="130" t="s">
        <v>1241</v>
      </c>
      <c r="Q637" s="45">
        <v>8156.46</v>
      </c>
      <c r="R637" s="45"/>
      <c r="S637" s="45">
        <f t="shared" si="123"/>
        <v>8156.46</v>
      </c>
      <c r="T637" s="146">
        <f t="shared" si="108"/>
        <v>8972.1060000000016</v>
      </c>
      <c r="U637" s="65">
        <v>1405.52</v>
      </c>
      <c r="V637" s="65"/>
      <c r="W637" s="21">
        <f t="shared" si="115"/>
        <v>1405.52</v>
      </c>
      <c r="X637" s="22">
        <f t="shared" si="103"/>
        <v>6750.9400000000005</v>
      </c>
      <c r="Y637" s="35">
        <f t="shared" si="104"/>
        <v>0.82768014555334057</v>
      </c>
      <c r="Z637" s="20"/>
      <c r="AA637" s="11"/>
      <c r="AB637" s="20"/>
      <c r="AC637" s="24" t="s">
        <v>128</v>
      </c>
      <c r="AD637" s="10">
        <v>43514</v>
      </c>
      <c r="AE637" s="10">
        <v>43522</v>
      </c>
      <c r="AF637" s="63">
        <f t="shared" si="124"/>
        <v>8</v>
      </c>
      <c r="AG637" s="10">
        <v>43586</v>
      </c>
      <c r="AH637" s="25">
        <f t="shared" si="112"/>
        <v>64</v>
      </c>
      <c r="AK637" s="27"/>
    </row>
    <row r="638" spans="1:37" s="26" customFormat="1" ht="15" customHeight="1" x14ac:dyDescent="0.45">
      <c r="A638" s="28" t="s">
        <v>41</v>
      </c>
      <c r="B638" s="8" t="s">
        <v>357</v>
      </c>
      <c r="C638" s="8" t="s">
        <v>57</v>
      </c>
      <c r="D638" s="9"/>
      <c r="E638" s="9"/>
      <c r="F638" s="10">
        <v>43532</v>
      </c>
      <c r="G638" s="10">
        <v>43532</v>
      </c>
      <c r="H638" s="10">
        <v>43532</v>
      </c>
      <c r="I638" s="52"/>
      <c r="J638" s="51">
        <f>G638+14</f>
        <v>43546</v>
      </c>
      <c r="K638" s="51">
        <f>J638+14</f>
        <v>43560</v>
      </c>
      <c r="L638" s="9"/>
      <c r="M638" s="10" t="str">
        <f t="shared" si="102"/>
        <v>Mar-19</v>
      </c>
      <c r="N638" s="10" t="str">
        <f t="shared" si="111"/>
        <v>Apr-19</v>
      </c>
      <c r="O638" s="17" t="s">
        <v>1380</v>
      </c>
      <c r="P638" s="17" t="s">
        <v>1038</v>
      </c>
      <c r="Q638" s="45">
        <v>2388.13</v>
      </c>
      <c r="R638" s="45"/>
      <c r="S638" s="45">
        <f t="shared" ref="S638:S643" si="125">SUM(Q638:R638)</f>
        <v>2388.13</v>
      </c>
      <c r="T638" s="146">
        <f t="shared" si="108"/>
        <v>2626.9430000000002</v>
      </c>
      <c r="U638" s="65"/>
      <c r="V638" s="65"/>
      <c r="W638" s="21">
        <f t="shared" si="115"/>
        <v>0</v>
      </c>
      <c r="X638" s="22">
        <f t="shared" si="103"/>
        <v>2388.13</v>
      </c>
      <c r="Y638" s="35">
        <f t="shared" si="104"/>
        <v>1</v>
      </c>
      <c r="Z638" s="20"/>
      <c r="AA638" s="11"/>
      <c r="AB638" s="20"/>
      <c r="AC638" s="24" t="s">
        <v>73</v>
      </c>
      <c r="AD638" s="10" t="s">
        <v>47</v>
      </c>
      <c r="AE638" s="10">
        <v>43517</v>
      </c>
      <c r="AF638" s="63"/>
      <c r="AG638" s="10">
        <v>43617</v>
      </c>
      <c r="AH638" s="25">
        <f t="shared" si="112"/>
        <v>100</v>
      </c>
      <c r="AK638" s="27"/>
    </row>
    <row r="639" spans="1:37" s="26" customFormat="1" ht="15" customHeight="1" x14ac:dyDescent="0.45">
      <c r="A639" s="28" t="s">
        <v>41</v>
      </c>
      <c r="B639" s="8" t="s">
        <v>42</v>
      </c>
      <c r="C639" s="28" t="s">
        <v>43</v>
      </c>
      <c r="D639" s="9"/>
      <c r="E639" s="9"/>
      <c r="F639" s="10"/>
      <c r="G639" s="11">
        <v>43615</v>
      </c>
      <c r="H639" s="51"/>
      <c r="I639" s="52"/>
      <c r="J639" s="51"/>
      <c r="K639" s="51"/>
      <c r="L639" s="9"/>
      <c r="M639" s="10" t="str">
        <f t="shared" si="102"/>
        <v>May-19</v>
      </c>
      <c r="N639" s="10" t="str">
        <f t="shared" si="111"/>
        <v>Jan-00</v>
      </c>
      <c r="O639" s="17" t="s">
        <v>1381</v>
      </c>
      <c r="P639" s="17" t="s">
        <v>235</v>
      </c>
      <c r="Q639" s="45">
        <v>528.9</v>
      </c>
      <c r="R639" s="45"/>
      <c r="S639" s="45">
        <f t="shared" si="125"/>
        <v>528.9</v>
      </c>
      <c r="T639" s="146">
        <f t="shared" si="108"/>
        <v>581.79000000000008</v>
      </c>
      <c r="U639" s="65">
        <v>300</v>
      </c>
      <c r="V639" s="65"/>
      <c r="W639" s="21">
        <f t="shared" ref="W639:W640" si="126">SUM(U639:V639)</f>
        <v>300</v>
      </c>
      <c r="X639" s="22">
        <f t="shared" si="103"/>
        <v>228.89999999999998</v>
      </c>
      <c r="Y639" s="35">
        <f t="shared" si="104"/>
        <v>0.43278502552467385</v>
      </c>
      <c r="Z639" s="20"/>
      <c r="AA639" s="11"/>
      <c r="AB639" s="20"/>
      <c r="AC639" s="24" t="s">
        <v>73</v>
      </c>
      <c r="AD639" s="10" t="s">
        <v>47</v>
      </c>
      <c r="AE639" s="10">
        <v>43518</v>
      </c>
      <c r="AF639" s="63"/>
      <c r="AG639" s="10">
        <v>43594</v>
      </c>
      <c r="AH639" s="25">
        <f t="shared" si="112"/>
        <v>76</v>
      </c>
      <c r="AK639" s="27"/>
    </row>
    <row r="640" spans="1:37" s="26" customFormat="1" ht="15" customHeight="1" x14ac:dyDescent="0.45">
      <c r="A640" s="28" t="s">
        <v>41</v>
      </c>
      <c r="B640" s="8" t="s">
        <v>42</v>
      </c>
      <c r="C640" s="28" t="s">
        <v>43</v>
      </c>
      <c r="D640" s="9"/>
      <c r="E640" s="9"/>
      <c r="F640" s="10"/>
      <c r="G640" s="11">
        <v>43646</v>
      </c>
      <c r="H640" s="51"/>
      <c r="I640" s="52"/>
      <c r="J640" s="51"/>
      <c r="K640" s="51"/>
      <c r="L640" s="9"/>
      <c r="M640" s="10" t="str">
        <f t="shared" si="102"/>
        <v>Jun-19</v>
      </c>
      <c r="N640" s="10" t="str">
        <f t="shared" si="111"/>
        <v>Jan-00</v>
      </c>
      <c r="O640" s="17" t="s">
        <v>1382</v>
      </c>
      <c r="P640" s="17" t="s">
        <v>81</v>
      </c>
      <c r="Q640" s="45">
        <v>1187.5999999999999</v>
      </c>
      <c r="R640" s="45"/>
      <c r="S640" s="45">
        <f t="shared" si="125"/>
        <v>1187.5999999999999</v>
      </c>
      <c r="T640" s="146">
        <f t="shared" si="108"/>
        <v>1306.3599999999999</v>
      </c>
      <c r="U640" s="65"/>
      <c r="V640" s="65"/>
      <c r="W640" s="21">
        <f t="shared" si="126"/>
        <v>0</v>
      </c>
      <c r="X640" s="22">
        <f t="shared" si="103"/>
        <v>1187.5999999999999</v>
      </c>
      <c r="Y640" s="35">
        <f t="shared" si="104"/>
        <v>1</v>
      </c>
      <c r="Z640" s="20"/>
      <c r="AA640" s="11"/>
      <c r="AB640" s="20"/>
      <c r="AC640" s="24" t="s">
        <v>73</v>
      </c>
      <c r="AD640" s="10" t="s">
        <v>47</v>
      </c>
      <c r="AE640" s="10">
        <v>43518</v>
      </c>
      <c r="AF640" s="63"/>
      <c r="AG640" s="10">
        <v>43617</v>
      </c>
      <c r="AH640" s="25">
        <f t="shared" si="112"/>
        <v>99</v>
      </c>
      <c r="AK640" s="27"/>
    </row>
    <row r="641" spans="1:37" s="26" customFormat="1" ht="15" customHeight="1" x14ac:dyDescent="0.45">
      <c r="A641" s="28" t="s">
        <v>41</v>
      </c>
      <c r="B641" s="8" t="s">
        <v>146</v>
      </c>
      <c r="C641" s="8" t="s">
        <v>36</v>
      </c>
      <c r="D641" s="9"/>
      <c r="E641" s="9"/>
      <c r="F641" s="10"/>
      <c r="G641" s="11">
        <v>43585</v>
      </c>
      <c r="H641" s="51"/>
      <c r="I641" s="52"/>
      <c r="J641" s="51"/>
      <c r="K641" s="51"/>
      <c r="L641" s="9"/>
      <c r="M641" s="10" t="str">
        <f t="shared" si="102"/>
        <v>Apr-19</v>
      </c>
      <c r="N641" s="10" t="str">
        <f t="shared" si="111"/>
        <v>Jan-00</v>
      </c>
      <c r="O641" s="17" t="s">
        <v>1383</v>
      </c>
      <c r="P641" s="17" t="s">
        <v>717</v>
      </c>
      <c r="Q641" s="45">
        <v>4495.32</v>
      </c>
      <c r="R641" s="45"/>
      <c r="S641" s="45">
        <f t="shared" si="125"/>
        <v>4495.32</v>
      </c>
      <c r="T641" s="146">
        <f t="shared" si="108"/>
        <v>4944.8519999999999</v>
      </c>
      <c r="U641" s="65"/>
      <c r="V641" s="65"/>
      <c r="W641" s="21">
        <f t="shared" ref="W641:W642" si="127">SUM(U641:V641)</f>
        <v>0</v>
      </c>
      <c r="X641" s="22">
        <f t="shared" si="103"/>
        <v>4495.32</v>
      </c>
      <c r="Y641" s="35">
        <f t="shared" si="104"/>
        <v>1</v>
      </c>
      <c r="Z641" s="20"/>
      <c r="AA641" s="11"/>
      <c r="AB641" s="20"/>
      <c r="AC641" s="24" t="s">
        <v>73</v>
      </c>
      <c r="AD641" s="10" t="s">
        <v>47</v>
      </c>
      <c r="AE641" s="10">
        <v>43518</v>
      </c>
      <c r="AF641" s="63"/>
      <c r="AG641" s="10">
        <v>43565</v>
      </c>
      <c r="AH641" s="25">
        <f t="shared" si="112"/>
        <v>47</v>
      </c>
      <c r="AK641" s="27"/>
    </row>
    <row r="642" spans="1:37" s="26" customFormat="1" ht="15" customHeight="1" x14ac:dyDescent="0.45">
      <c r="A642" s="28" t="s">
        <v>41</v>
      </c>
      <c r="B642" s="8" t="s">
        <v>739</v>
      </c>
      <c r="C642" s="28" t="s">
        <v>43</v>
      </c>
      <c r="D642" s="9"/>
      <c r="E642" s="9"/>
      <c r="F642" s="10"/>
      <c r="G642" s="11">
        <v>43615</v>
      </c>
      <c r="H642" s="51"/>
      <c r="I642" s="52"/>
      <c r="J642" s="51"/>
      <c r="K642" s="51"/>
      <c r="L642" s="9"/>
      <c r="M642" s="10" t="str">
        <f t="shared" ref="M642:M694" si="128">TEXT(G642,"mmm-yy")</f>
        <v>May-19</v>
      </c>
      <c r="N642" s="10" t="str">
        <f t="shared" si="111"/>
        <v>Jan-00</v>
      </c>
      <c r="O642" s="17" t="s">
        <v>1384</v>
      </c>
      <c r="P642" s="17" t="s">
        <v>1385</v>
      </c>
      <c r="Q642" s="45">
        <v>2211.62</v>
      </c>
      <c r="R642" s="45"/>
      <c r="S642" s="45">
        <f t="shared" si="125"/>
        <v>2211.62</v>
      </c>
      <c r="T642" s="146">
        <f t="shared" si="108"/>
        <v>2432.7820000000002</v>
      </c>
      <c r="U642" s="65"/>
      <c r="V642" s="65"/>
      <c r="W642" s="21">
        <f t="shared" si="127"/>
        <v>0</v>
      </c>
      <c r="X642" s="22">
        <f t="shared" ref="X642:X693" si="129">S642-W642</f>
        <v>2211.62</v>
      </c>
      <c r="Y642" s="35">
        <f t="shared" ref="Y642:Y693" si="130">X642/S642</f>
        <v>1</v>
      </c>
      <c r="Z642" s="20"/>
      <c r="AA642" s="11"/>
      <c r="AB642" s="20"/>
      <c r="AC642" s="24" t="s">
        <v>73</v>
      </c>
      <c r="AD642" s="10" t="s">
        <v>47</v>
      </c>
      <c r="AE642" s="10">
        <v>43518</v>
      </c>
      <c r="AF642" s="63"/>
      <c r="AG642" s="10">
        <v>43600</v>
      </c>
      <c r="AH642" s="25">
        <f t="shared" si="112"/>
        <v>82</v>
      </c>
      <c r="AK642" s="27"/>
    </row>
    <row r="643" spans="1:37" s="26" customFormat="1" ht="15" customHeight="1" x14ac:dyDescent="0.45">
      <c r="A643" s="28" t="s">
        <v>774</v>
      </c>
      <c r="B643" s="8" t="s">
        <v>146</v>
      </c>
      <c r="C643" s="8" t="s">
        <v>36</v>
      </c>
      <c r="D643" s="9"/>
      <c r="E643" s="9"/>
      <c r="F643" s="10"/>
      <c r="G643" s="11">
        <v>43646</v>
      </c>
      <c r="H643" s="51"/>
      <c r="I643" s="52"/>
      <c r="J643" s="51"/>
      <c r="K643" s="51"/>
      <c r="L643" s="9"/>
      <c r="M643" s="10" t="str">
        <f t="shared" si="128"/>
        <v>Jun-19</v>
      </c>
      <c r="N643" s="10" t="str">
        <f t="shared" si="111"/>
        <v>Jan-00</v>
      </c>
      <c r="O643" s="113" t="s">
        <v>1386</v>
      </c>
      <c r="P643" s="113" t="s">
        <v>1387</v>
      </c>
      <c r="Q643" s="45">
        <f>74298.87-Q644</f>
        <v>52009.209000000003</v>
      </c>
      <c r="R643" s="45"/>
      <c r="S643" s="45">
        <f t="shared" si="125"/>
        <v>52009.209000000003</v>
      </c>
      <c r="T643" s="146">
        <f t="shared" si="108"/>
        <v>57210.129900000007</v>
      </c>
      <c r="U643" s="65"/>
      <c r="V643" s="65"/>
      <c r="W643" s="21">
        <f t="shared" ref="W643" si="131">SUM(U643:V643)</f>
        <v>0</v>
      </c>
      <c r="X643" s="22">
        <f t="shared" si="129"/>
        <v>52009.209000000003</v>
      </c>
      <c r="Y643" s="35">
        <f t="shared" si="130"/>
        <v>1</v>
      </c>
      <c r="Z643" s="20"/>
      <c r="AA643" s="11"/>
      <c r="AB643" s="20"/>
      <c r="AC643" s="24" t="s">
        <v>69</v>
      </c>
      <c r="AD643" s="10" t="s">
        <v>47</v>
      </c>
      <c r="AE643" s="10">
        <v>43518</v>
      </c>
      <c r="AF643" s="63"/>
      <c r="AG643" s="10">
        <v>43617</v>
      </c>
      <c r="AH643" s="25">
        <f t="shared" si="112"/>
        <v>99</v>
      </c>
      <c r="AK643" s="27"/>
    </row>
    <row r="644" spans="1:37" s="26" customFormat="1" ht="15" customHeight="1" x14ac:dyDescent="0.45">
      <c r="A644" s="28" t="s">
        <v>546</v>
      </c>
      <c r="B644" s="8" t="s">
        <v>146</v>
      </c>
      <c r="C644" s="8" t="s">
        <v>36</v>
      </c>
      <c r="D644" s="9" t="s">
        <v>1388</v>
      </c>
      <c r="E644" s="9">
        <v>43530</v>
      </c>
      <c r="F644" s="10">
        <v>43528</v>
      </c>
      <c r="G644" s="10">
        <v>43528</v>
      </c>
      <c r="H644" s="67"/>
      <c r="I644" s="68"/>
      <c r="J644" s="67"/>
      <c r="K644" s="14">
        <v>43531</v>
      </c>
      <c r="L644" s="9"/>
      <c r="M644" s="10" t="str">
        <f t="shared" si="128"/>
        <v>Mar-19</v>
      </c>
      <c r="N644" s="10" t="str">
        <f t="shared" si="111"/>
        <v>Mar-19</v>
      </c>
      <c r="O644" s="113" t="s">
        <v>1386</v>
      </c>
      <c r="P644" s="113" t="s">
        <v>1387</v>
      </c>
      <c r="Q644" s="45">
        <f>74298.87*0.3</f>
        <v>22289.660999999996</v>
      </c>
      <c r="R644" s="73"/>
      <c r="S644" s="45">
        <f t="shared" ref="S644" si="132">SUM(Q644:R644)</f>
        <v>22289.660999999996</v>
      </c>
      <c r="T644" s="146">
        <f t="shared" si="108"/>
        <v>24518.627099999998</v>
      </c>
      <c r="U644" s="65"/>
      <c r="V644" s="65"/>
      <c r="W644" s="21">
        <f t="shared" ref="W644:W649" si="133">SUM(U644:V644)</f>
        <v>0</v>
      </c>
      <c r="X644" s="22">
        <f t="shared" si="129"/>
        <v>22289.660999999996</v>
      </c>
      <c r="Y644" s="35">
        <f t="shared" si="130"/>
        <v>1</v>
      </c>
      <c r="Z644" s="20"/>
      <c r="AA644" s="11"/>
      <c r="AB644" s="20"/>
      <c r="AC644" s="24" t="s">
        <v>69</v>
      </c>
      <c r="AD644" s="10" t="s">
        <v>47</v>
      </c>
      <c r="AE644" s="10">
        <v>43518</v>
      </c>
      <c r="AF644" s="63"/>
      <c r="AG644" s="10">
        <v>43617</v>
      </c>
      <c r="AH644" s="25">
        <f t="shared" si="112"/>
        <v>99</v>
      </c>
      <c r="AK644" s="27"/>
    </row>
    <row r="645" spans="1:37" s="26" customFormat="1" ht="15" customHeight="1" x14ac:dyDescent="0.45">
      <c r="A645" s="28" t="s">
        <v>774</v>
      </c>
      <c r="B645" s="8" t="s">
        <v>56</v>
      </c>
      <c r="C645" s="8" t="s">
        <v>36</v>
      </c>
      <c r="D645" s="9"/>
      <c r="E645" s="9"/>
      <c r="F645" s="10"/>
      <c r="G645" s="11">
        <v>43646</v>
      </c>
      <c r="H645" s="51"/>
      <c r="I645" s="52"/>
      <c r="J645" s="51"/>
      <c r="K645" s="51"/>
      <c r="L645" s="9"/>
      <c r="M645" s="10" t="str">
        <f t="shared" si="128"/>
        <v>Jun-19</v>
      </c>
      <c r="N645" s="10" t="str">
        <f t="shared" si="111"/>
        <v>Jan-00</v>
      </c>
      <c r="O645" s="113" t="s">
        <v>1389</v>
      </c>
      <c r="P645" s="113" t="s">
        <v>261</v>
      </c>
      <c r="Q645" s="45">
        <f>93289.56-Q646</f>
        <v>65302.691999999995</v>
      </c>
      <c r="R645" s="45"/>
      <c r="S645" s="45">
        <f t="shared" ref="S645" si="134">SUM(Q645:R645)</f>
        <v>65302.691999999995</v>
      </c>
      <c r="T645" s="146">
        <f t="shared" si="108"/>
        <v>71832.961200000005</v>
      </c>
      <c r="U645" s="65">
        <v>1500</v>
      </c>
      <c r="V645" s="65"/>
      <c r="W645" s="21">
        <f t="shared" si="133"/>
        <v>1500</v>
      </c>
      <c r="X645" s="22">
        <f t="shared" si="129"/>
        <v>63802.691999999995</v>
      </c>
      <c r="Y645" s="35">
        <f t="shared" si="130"/>
        <v>0.97703004341689315</v>
      </c>
      <c r="Z645" s="20"/>
      <c r="AA645" s="11"/>
      <c r="AB645" s="20"/>
      <c r="AC645" s="24" t="s">
        <v>69</v>
      </c>
      <c r="AD645" s="10" t="s">
        <v>47</v>
      </c>
      <c r="AE645" s="10">
        <v>43518</v>
      </c>
      <c r="AF645" s="63"/>
      <c r="AG645" s="10">
        <v>43617</v>
      </c>
      <c r="AH645" s="25">
        <f t="shared" si="112"/>
        <v>99</v>
      </c>
      <c r="AK645" s="27"/>
    </row>
    <row r="646" spans="1:37" s="26" customFormat="1" ht="15" customHeight="1" x14ac:dyDescent="0.45">
      <c r="A646" s="28" t="s">
        <v>546</v>
      </c>
      <c r="B646" s="8" t="s">
        <v>56</v>
      </c>
      <c r="C646" s="8" t="s">
        <v>36</v>
      </c>
      <c r="D646" s="9" t="s">
        <v>1390</v>
      </c>
      <c r="E646" s="9">
        <v>43531</v>
      </c>
      <c r="F646" s="10">
        <v>43528</v>
      </c>
      <c r="G646" s="10">
        <v>43528</v>
      </c>
      <c r="H646" s="67"/>
      <c r="I646" s="68"/>
      <c r="J646" s="67"/>
      <c r="K646" s="14">
        <v>43531</v>
      </c>
      <c r="L646" s="9"/>
      <c r="M646" s="10" t="str">
        <f t="shared" si="128"/>
        <v>Mar-19</v>
      </c>
      <c r="N646" s="10" t="str">
        <f t="shared" si="111"/>
        <v>Mar-19</v>
      </c>
      <c r="O646" s="113" t="s">
        <v>1389</v>
      </c>
      <c r="P646" s="113" t="s">
        <v>261</v>
      </c>
      <c r="Q646" s="45">
        <f>93289.56*0.3</f>
        <v>27986.867999999999</v>
      </c>
      <c r="R646" s="73"/>
      <c r="S646" s="45">
        <f t="shared" ref="S646" si="135">SUM(Q646:R646)</f>
        <v>27986.867999999999</v>
      </c>
      <c r="T646" s="146">
        <f t="shared" si="108"/>
        <v>30785.554800000002</v>
      </c>
      <c r="U646" s="65"/>
      <c r="V646" s="65"/>
      <c r="W646" s="21">
        <f t="shared" si="133"/>
        <v>0</v>
      </c>
      <c r="X646" s="22">
        <f t="shared" si="129"/>
        <v>27986.867999999999</v>
      </c>
      <c r="Y646" s="35">
        <f t="shared" si="130"/>
        <v>1</v>
      </c>
      <c r="Z646" s="20"/>
      <c r="AA646" s="11"/>
      <c r="AB646" s="20"/>
      <c r="AC646" s="24" t="s">
        <v>69</v>
      </c>
      <c r="AD646" s="10" t="s">
        <v>47</v>
      </c>
      <c r="AE646" s="10">
        <v>43518</v>
      </c>
      <c r="AF646" s="63"/>
      <c r="AG646" s="10">
        <v>43617</v>
      </c>
      <c r="AH646" s="25">
        <f t="shared" si="112"/>
        <v>99</v>
      </c>
      <c r="AK646" s="27"/>
    </row>
    <row r="647" spans="1:37" s="26" customFormat="1" ht="15" customHeight="1" x14ac:dyDescent="0.45">
      <c r="A647" s="28" t="s">
        <v>41</v>
      </c>
      <c r="B647" s="8" t="s">
        <v>739</v>
      </c>
      <c r="C647" s="28" t="s">
        <v>43</v>
      </c>
      <c r="D647" s="9"/>
      <c r="E647" s="9"/>
      <c r="F647" s="10"/>
      <c r="G647" s="11">
        <v>43615</v>
      </c>
      <c r="H647" s="51"/>
      <c r="I647" s="52"/>
      <c r="J647" s="51"/>
      <c r="K647" s="51"/>
      <c r="L647" s="9"/>
      <c r="M647" s="10" t="str">
        <f t="shared" si="128"/>
        <v>May-19</v>
      </c>
      <c r="N647" s="10" t="str">
        <f t="shared" si="111"/>
        <v>Jan-00</v>
      </c>
      <c r="O647" s="17" t="s">
        <v>1391</v>
      </c>
      <c r="P647" s="17" t="s">
        <v>448</v>
      </c>
      <c r="Q647" s="45">
        <v>662.58</v>
      </c>
      <c r="R647" s="45"/>
      <c r="S647" s="45">
        <f t="shared" ref="S647:S649" si="136">SUM(Q647:R647)</f>
        <v>662.58</v>
      </c>
      <c r="T647" s="146">
        <f t="shared" si="108"/>
        <v>728.83800000000008</v>
      </c>
      <c r="U647" s="65"/>
      <c r="V647" s="65"/>
      <c r="W647" s="21">
        <f t="shared" si="133"/>
        <v>0</v>
      </c>
      <c r="X647" s="22">
        <f t="shared" si="129"/>
        <v>662.58</v>
      </c>
      <c r="Y647" s="35">
        <f t="shared" si="130"/>
        <v>1</v>
      </c>
      <c r="Z647" s="20"/>
      <c r="AA647" s="11"/>
      <c r="AB647" s="20"/>
      <c r="AC647" s="24" t="s">
        <v>73</v>
      </c>
      <c r="AD647" s="10" t="s">
        <v>47</v>
      </c>
      <c r="AE647" s="10">
        <v>43518</v>
      </c>
      <c r="AF647" s="63"/>
      <c r="AG647" s="10">
        <v>43598</v>
      </c>
      <c r="AH647" s="25">
        <f t="shared" si="112"/>
        <v>80</v>
      </c>
      <c r="AK647" s="27"/>
    </row>
    <row r="648" spans="1:37" s="26" customFormat="1" ht="15" customHeight="1" x14ac:dyDescent="0.45">
      <c r="A648" s="28" t="s">
        <v>1336</v>
      </c>
      <c r="B648" s="8" t="s">
        <v>739</v>
      </c>
      <c r="C648" s="28" t="s">
        <v>43</v>
      </c>
      <c r="D648" s="9"/>
      <c r="E648" s="9"/>
      <c r="F648" s="10"/>
      <c r="G648" s="11">
        <v>43615</v>
      </c>
      <c r="H648" s="51"/>
      <c r="I648" s="52"/>
      <c r="J648" s="51"/>
      <c r="K648" s="51"/>
      <c r="L648" s="9"/>
      <c r="M648" s="10" t="str">
        <f t="shared" si="128"/>
        <v>May-19</v>
      </c>
      <c r="N648" s="10" t="str">
        <f t="shared" si="111"/>
        <v>Jan-00</v>
      </c>
      <c r="O648" s="17" t="s">
        <v>1392</v>
      </c>
      <c r="P648" s="17" t="s">
        <v>1216</v>
      </c>
      <c r="Q648" s="45">
        <v>1472.75</v>
      </c>
      <c r="R648" s="45"/>
      <c r="S648" s="45">
        <f t="shared" si="136"/>
        <v>1472.75</v>
      </c>
      <c r="T648" s="146">
        <f t="shared" si="108"/>
        <v>1620.0250000000001</v>
      </c>
      <c r="U648" s="65">
        <v>650</v>
      </c>
      <c r="V648" s="65"/>
      <c r="W648" s="21">
        <f t="shared" si="133"/>
        <v>650</v>
      </c>
      <c r="X648" s="22">
        <f t="shared" si="129"/>
        <v>822.75</v>
      </c>
      <c r="Y648" s="35">
        <f t="shared" si="130"/>
        <v>0.55864878628416226</v>
      </c>
      <c r="Z648" s="20"/>
      <c r="AA648" s="11"/>
      <c r="AB648" s="20"/>
      <c r="AC648" s="24" t="s">
        <v>73</v>
      </c>
      <c r="AD648" s="10" t="s">
        <v>47</v>
      </c>
      <c r="AE648" s="10">
        <v>43521</v>
      </c>
      <c r="AF648" s="63"/>
      <c r="AG648" s="10">
        <v>43565</v>
      </c>
      <c r="AH648" s="25">
        <f t="shared" si="112"/>
        <v>44</v>
      </c>
      <c r="AK648" s="27"/>
    </row>
    <row r="649" spans="1:37" s="26" customFormat="1" ht="15" customHeight="1" x14ac:dyDescent="0.45">
      <c r="A649" s="28" t="s">
        <v>41</v>
      </c>
      <c r="B649" s="8" t="s">
        <v>100</v>
      </c>
      <c r="C649" s="8" t="s">
        <v>57</v>
      </c>
      <c r="D649" s="9"/>
      <c r="E649" s="9"/>
      <c r="F649" s="10">
        <v>43542</v>
      </c>
      <c r="G649" s="11">
        <v>43542</v>
      </c>
      <c r="H649" s="51"/>
      <c r="I649" s="52"/>
      <c r="J649" s="51">
        <f>G649+14</f>
        <v>43556</v>
      </c>
      <c r="K649" s="51">
        <f>J649+14</f>
        <v>43570</v>
      </c>
      <c r="L649" s="9"/>
      <c r="M649" s="10" t="str">
        <f t="shared" si="128"/>
        <v>Mar-19</v>
      </c>
      <c r="N649" s="10" t="str">
        <f t="shared" si="111"/>
        <v>Apr-19</v>
      </c>
      <c r="O649" s="17" t="s">
        <v>1393</v>
      </c>
      <c r="P649" s="17" t="s">
        <v>108</v>
      </c>
      <c r="Q649" s="45">
        <v>6205.77</v>
      </c>
      <c r="R649" s="45"/>
      <c r="S649" s="45">
        <f t="shared" si="136"/>
        <v>6205.77</v>
      </c>
      <c r="T649" s="146">
        <f t="shared" si="108"/>
        <v>6826.3470000000007</v>
      </c>
      <c r="U649" s="65"/>
      <c r="V649" s="65"/>
      <c r="W649" s="21">
        <f t="shared" si="133"/>
        <v>0</v>
      </c>
      <c r="X649" s="22">
        <f t="shared" si="129"/>
        <v>6205.77</v>
      </c>
      <c r="Y649" s="35">
        <f t="shared" si="130"/>
        <v>1</v>
      </c>
      <c r="Z649" s="20"/>
      <c r="AA649" s="11"/>
      <c r="AB649" s="20"/>
      <c r="AC649" s="24" t="s">
        <v>73</v>
      </c>
      <c r="AD649" s="10" t="s">
        <v>47</v>
      </c>
      <c r="AE649" s="10">
        <v>43521</v>
      </c>
      <c r="AF649" s="63"/>
      <c r="AG649" s="10">
        <v>43600</v>
      </c>
      <c r="AH649" s="25">
        <f t="shared" si="112"/>
        <v>79</v>
      </c>
      <c r="AK649" s="27"/>
    </row>
    <row r="650" spans="1:37" s="26" customFormat="1" ht="15" customHeight="1" x14ac:dyDescent="0.45">
      <c r="A650" s="28" t="s">
        <v>41</v>
      </c>
      <c r="B650" s="8" t="s">
        <v>100</v>
      </c>
      <c r="C650" s="8" t="s">
        <v>57</v>
      </c>
      <c r="D650" s="9"/>
      <c r="E650" s="9"/>
      <c r="F650" s="10"/>
      <c r="G650" s="11">
        <v>43646</v>
      </c>
      <c r="H650" s="51"/>
      <c r="I650" s="52"/>
      <c r="J650" s="51"/>
      <c r="K650" s="51"/>
      <c r="L650" s="9"/>
      <c r="M650" s="10" t="str">
        <f t="shared" si="128"/>
        <v>Jun-19</v>
      </c>
      <c r="N650" s="10" t="str">
        <f t="shared" si="111"/>
        <v>Jan-00</v>
      </c>
      <c r="O650" s="17" t="s">
        <v>1394</v>
      </c>
      <c r="P650" s="17" t="s">
        <v>1395</v>
      </c>
      <c r="Q650" s="45">
        <v>1040.04</v>
      </c>
      <c r="R650" s="45"/>
      <c r="S650" s="45">
        <f t="shared" ref="S650:S652" si="137">SUM(Q650:R650)</f>
        <v>1040.04</v>
      </c>
      <c r="T650" s="146">
        <f t="shared" si="108"/>
        <v>1144.0440000000001</v>
      </c>
      <c r="U650" s="65"/>
      <c r="V650" s="65"/>
      <c r="W650" s="21">
        <f t="shared" ref="W650" si="138">SUM(U650:V650)</f>
        <v>0</v>
      </c>
      <c r="X650" s="22">
        <f t="shared" si="129"/>
        <v>1040.04</v>
      </c>
      <c r="Y650" s="35">
        <f t="shared" si="130"/>
        <v>1</v>
      </c>
      <c r="Z650" s="20"/>
      <c r="AA650" s="11"/>
      <c r="AB650" s="20"/>
      <c r="AC650" s="24" t="s">
        <v>73</v>
      </c>
      <c r="AD650" s="10" t="s">
        <v>47</v>
      </c>
      <c r="AE650" s="10">
        <v>43521</v>
      </c>
      <c r="AF650" s="63"/>
      <c r="AG650" s="10">
        <v>43617</v>
      </c>
      <c r="AH650" s="25">
        <f t="shared" si="112"/>
        <v>96</v>
      </c>
      <c r="AK650" s="27"/>
    </row>
    <row r="651" spans="1:37" s="26" customFormat="1" ht="15" customHeight="1" x14ac:dyDescent="0.45">
      <c r="A651" s="28" t="s">
        <v>41</v>
      </c>
      <c r="B651" s="8" t="s">
        <v>739</v>
      </c>
      <c r="C651" s="28" t="s">
        <v>43</v>
      </c>
      <c r="D651" s="9"/>
      <c r="E651" s="9"/>
      <c r="F651" s="10"/>
      <c r="G651" s="11">
        <v>43646</v>
      </c>
      <c r="H651" s="51"/>
      <c r="I651" s="52"/>
      <c r="J651" s="51"/>
      <c r="K651" s="51"/>
      <c r="L651" s="9"/>
      <c r="M651" s="10" t="str">
        <f t="shared" si="128"/>
        <v>Jun-19</v>
      </c>
      <c r="N651" s="10" t="str">
        <f t="shared" si="111"/>
        <v>Jan-00</v>
      </c>
      <c r="O651" s="17" t="s">
        <v>1396</v>
      </c>
      <c r="P651" s="17" t="s">
        <v>269</v>
      </c>
      <c r="Q651" s="45">
        <v>739.75</v>
      </c>
      <c r="R651" s="45"/>
      <c r="S651" s="45">
        <f t="shared" si="137"/>
        <v>739.75</v>
      </c>
      <c r="T651" s="146">
        <f t="shared" si="108"/>
        <v>813.72500000000002</v>
      </c>
      <c r="U651" s="65">
        <v>300</v>
      </c>
      <c r="V651" s="65"/>
      <c r="W651" s="21">
        <f t="shared" ref="W651" si="139">SUM(U651:V651)</f>
        <v>300</v>
      </c>
      <c r="X651" s="22">
        <f t="shared" si="129"/>
        <v>439.75</v>
      </c>
      <c r="Y651" s="35">
        <f t="shared" si="130"/>
        <v>0.59445758702264273</v>
      </c>
      <c r="Z651" s="20"/>
      <c r="AA651" s="11"/>
      <c r="AB651" s="20"/>
      <c r="AC651" s="24" t="s">
        <v>73</v>
      </c>
      <c r="AD651" s="10" t="s">
        <v>47</v>
      </c>
      <c r="AE651" s="10">
        <v>43521</v>
      </c>
      <c r="AF651" s="63"/>
      <c r="AG651" s="10">
        <v>43598</v>
      </c>
      <c r="AH651" s="25">
        <f t="shared" si="112"/>
        <v>77</v>
      </c>
      <c r="AK651" s="27"/>
    </row>
    <row r="652" spans="1:37" s="26" customFormat="1" ht="15" customHeight="1" x14ac:dyDescent="0.45">
      <c r="A652" s="28" t="s">
        <v>774</v>
      </c>
      <c r="B652" s="8" t="s">
        <v>56</v>
      </c>
      <c r="C652" s="8" t="s">
        <v>36</v>
      </c>
      <c r="D652" s="9"/>
      <c r="E652" s="9"/>
      <c r="F652" s="10"/>
      <c r="G652" s="11">
        <v>43646</v>
      </c>
      <c r="H652" s="51"/>
      <c r="I652" s="52"/>
      <c r="J652" s="51"/>
      <c r="K652" s="51"/>
      <c r="L652" s="9"/>
      <c r="M652" s="10" t="str">
        <f t="shared" si="128"/>
        <v>Jun-19</v>
      </c>
      <c r="N652" s="10" t="str">
        <f t="shared" si="111"/>
        <v>Jan-00</v>
      </c>
      <c r="O652" s="113" t="s">
        <v>1397</v>
      </c>
      <c r="P652" s="113" t="s">
        <v>1398</v>
      </c>
      <c r="Q652" s="45">
        <f>36831.44-Q653</f>
        <v>25782.008000000002</v>
      </c>
      <c r="R652" s="45"/>
      <c r="S652" s="45">
        <f t="shared" si="137"/>
        <v>25782.008000000002</v>
      </c>
      <c r="T652" s="146">
        <f t="shared" si="108"/>
        <v>28360.208800000004</v>
      </c>
      <c r="U652" s="65">
        <v>1500</v>
      </c>
      <c r="V652" s="65"/>
      <c r="W652" s="21">
        <f t="shared" ref="W652" si="140">SUM(U652:V652)</f>
        <v>1500</v>
      </c>
      <c r="X652" s="22">
        <f t="shared" si="129"/>
        <v>24282.008000000002</v>
      </c>
      <c r="Y652" s="35">
        <f t="shared" si="130"/>
        <v>0.9418198923838671</v>
      </c>
      <c r="Z652" s="20"/>
      <c r="AA652" s="11"/>
      <c r="AB652" s="20"/>
      <c r="AC652" s="24" t="s">
        <v>69</v>
      </c>
      <c r="AD652" s="10" t="s">
        <v>47</v>
      </c>
      <c r="AE652" s="10">
        <v>43521</v>
      </c>
      <c r="AF652" s="63"/>
      <c r="AG652" s="10">
        <v>43617</v>
      </c>
      <c r="AH652" s="25">
        <f t="shared" si="112"/>
        <v>96</v>
      </c>
      <c r="AK652" s="27"/>
    </row>
    <row r="653" spans="1:37" s="26" customFormat="1" ht="15" customHeight="1" x14ac:dyDescent="0.45">
      <c r="A653" s="28" t="s">
        <v>546</v>
      </c>
      <c r="B653" s="8" t="s">
        <v>56</v>
      </c>
      <c r="C653" s="8" t="s">
        <v>36</v>
      </c>
      <c r="D653" s="9" t="s">
        <v>1399</v>
      </c>
      <c r="E653" s="9">
        <v>43538</v>
      </c>
      <c r="F653" s="10">
        <v>43529</v>
      </c>
      <c r="G653" s="11">
        <v>43529</v>
      </c>
      <c r="H653" s="67"/>
      <c r="I653" s="68"/>
      <c r="J653" s="67"/>
      <c r="K653" s="14">
        <v>43538</v>
      </c>
      <c r="L653" s="9"/>
      <c r="M653" s="10" t="str">
        <f t="shared" si="128"/>
        <v>Mar-19</v>
      </c>
      <c r="N653" s="10" t="str">
        <f t="shared" si="111"/>
        <v>Mar-19</v>
      </c>
      <c r="O653" s="113" t="s">
        <v>1397</v>
      </c>
      <c r="P653" s="113" t="s">
        <v>1398</v>
      </c>
      <c r="Q653" s="45">
        <f>36831.44*0.3</f>
        <v>11049.432000000001</v>
      </c>
      <c r="R653" s="73"/>
      <c r="S653" s="45">
        <f t="shared" ref="S653" si="141">SUM(Q653:R653)</f>
        <v>11049.432000000001</v>
      </c>
      <c r="T653" s="146">
        <f t="shared" si="108"/>
        <v>12154.375200000002</v>
      </c>
      <c r="U653" s="65"/>
      <c r="V653" s="65"/>
      <c r="W653" s="21">
        <f t="shared" ref="W653:W654" si="142">SUM(U653:V653)</f>
        <v>0</v>
      </c>
      <c r="X653" s="22">
        <f t="shared" si="129"/>
        <v>11049.432000000001</v>
      </c>
      <c r="Y653" s="35">
        <f t="shared" si="130"/>
        <v>1</v>
      </c>
      <c r="Z653" s="20"/>
      <c r="AA653" s="11"/>
      <c r="AB653" s="20"/>
      <c r="AC653" s="24" t="s">
        <v>69</v>
      </c>
      <c r="AD653" s="10" t="s">
        <v>47</v>
      </c>
      <c r="AE653" s="10">
        <v>43521</v>
      </c>
      <c r="AF653" s="63"/>
      <c r="AG653" s="10">
        <v>43617</v>
      </c>
      <c r="AH653" s="25">
        <f t="shared" si="112"/>
        <v>96</v>
      </c>
      <c r="AK653" s="27"/>
    </row>
    <row r="654" spans="1:37" s="26" customFormat="1" ht="15" customHeight="1" x14ac:dyDescent="0.45">
      <c r="A654" s="28" t="s">
        <v>41</v>
      </c>
      <c r="B654" s="8" t="s">
        <v>42</v>
      </c>
      <c r="C654" s="28" t="s">
        <v>43</v>
      </c>
      <c r="D654" s="9"/>
      <c r="E654" s="9"/>
      <c r="F654" s="10"/>
      <c r="G654" s="11">
        <v>43615</v>
      </c>
      <c r="H654" s="51"/>
      <c r="I654" s="52"/>
      <c r="J654" s="51"/>
      <c r="K654" s="51"/>
      <c r="L654" s="9"/>
      <c r="M654" s="10" t="str">
        <f t="shared" si="128"/>
        <v>May-19</v>
      </c>
      <c r="N654" s="10" t="str">
        <f t="shared" si="111"/>
        <v>Jan-00</v>
      </c>
      <c r="O654" s="17" t="s">
        <v>1400</v>
      </c>
      <c r="P654" s="17" t="s">
        <v>54</v>
      </c>
      <c r="Q654" s="45">
        <v>800.08</v>
      </c>
      <c r="R654" s="45"/>
      <c r="S654" s="45">
        <f t="shared" ref="S654" si="143">SUM(Q654:R654)</f>
        <v>800.08</v>
      </c>
      <c r="T654" s="146">
        <f t="shared" si="108"/>
        <v>880.08800000000008</v>
      </c>
      <c r="U654" s="65"/>
      <c r="V654" s="65"/>
      <c r="W654" s="21">
        <f t="shared" si="142"/>
        <v>0</v>
      </c>
      <c r="X654" s="22">
        <f t="shared" si="129"/>
        <v>800.08</v>
      </c>
      <c r="Y654" s="35">
        <f t="shared" si="130"/>
        <v>1</v>
      </c>
      <c r="Z654" s="20"/>
      <c r="AA654" s="11"/>
      <c r="AB654" s="20"/>
      <c r="AC654" s="24" t="s">
        <v>73</v>
      </c>
      <c r="AD654" s="10" t="s">
        <v>47</v>
      </c>
      <c r="AE654" s="10">
        <v>43521</v>
      </c>
      <c r="AF654" s="63"/>
      <c r="AG654" s="10">
        <v>43598</v>
      </c>
      <c r="AH654" s="25">
        <f t="shared" si="112"/>
        <v>77</v>
      </c>
      <c r="AK654" s="27"/>
    </row>
    <row r="655" spans="1:37" s="26" customFormat="1" ht="15" customHeight="1" x14ac:dyDescent="0.45">
      <c r="A655" s="28" t="s">
        <v>41</v>
      </c>
      <c r="B655" s="8" t="s">
        <v>42</v>
      </c>
      <c r="C655" s="28" t="s">
        <v>43</v>
      </c>
      <c r="D655" s="9"/>
      <c r="E655" s="9"/>
      <c r="F655" s="10"/>
      <c r="G655" s="11">
        <v>43615</v>
      </c>
      <c r="H655" s="51"/>
      <c r="I655" s="52"/>
      <c r="J655" s="51"/>
      <c r="K655" s="51"/>
      <c r="L655" s="9"/>
      <c r="M655" s="10" t="str">
        <f t="shared" si="128"/>
        <v>May-19</v>
      </c>
      <c r="N655" s="10" t="str">
        <f t="shared" si="111"/>
        <v>Jan-00</v>
      </c>
      <c r="O655" s="17" t="s">
        <v>1401</v>
      </c>
      <c r="P655" s="17" t="s">
        <v>302</v>
      </c>
      <c r="Q655" s="45">
        <v>1178.5</v>
      </c>
      <c r="R655" s="45"/>
      <c r="S655" s="45">
        <f t="shared" ref="S655:S658" si="144">SUM(Q655:R655)</f>
        <v>1178.5</v>
      </c>
      <c r="T655" s="146">
        <f t="shared" si="108"/>
        <v>1296.3500000000001</v>
      </c>
      <c r="U655" s="65"/>
      <c r="V655" s="65"/>
      <c r="W655" s="21">
        <f t="shared" ref="W655" si="145">SUM(U655:V655)</f>
        <v>0</v>
      </c>
      <c r="X655" s="22">
        <f t="shared" si="129"/>
        <v>1178.5</v>
      </c>
      <c r="Y655" s="35">
        <f t="shared" si="130"/>
        <v>1</v>
      </c>
      <c r="Z655" s="20"/>
      <c r="AA655" s="11"/>
      <c r="AB655" s="20"/>
      <c r="AC655" s="24" t="s">
        <v>73</v>
      </c>
      <c r="AD655" s="10" t="s">
        <v>47</v>
      </c>
      <c r="AE655" s="10">
        <v>43521</v>
      </c>
      <c r="AF655" s="63"/>
      <c r="AG655" s="10">
        <v>43595</v>
      </c>
      <c r="AH655" s="25">
        <f t="shared" si="112"/>
        <v>74</v>
      </c>
      <c r="AK655" s="27"/>
    </row>
    <row r="656" spans="1:37" s="26" customFormat="1" ht="15" customHeight="1" x14ac:dyDescent="0.45">
      <c r="A656" s="28" t="s">
        <v>41</v>
      </c>
      <c r="B656" s="8" t="s">
        <v>42</v>
      </c>
      <c r="C656" s="28" t="s">
        <v>43</v>
      </c>
      <c r="D656" s="9"/>
      <c r="E656" s="9"/>
      <c r="F656" s="10"/>
      <c r="G656" s="11">
        <v>43615</v>
      </c>
      <c r="H656" s="51"/>
      <c r="I656" s="52"/>
      <c r="J656" s="51"/>
      <c r="K656" s="51"/>
      <c r="L656" s="9"/>
      <c r="M656" s="10" t="str">
        <f t="shared" si="128"/>
        <v>May-19</v>
      </c>
      <c r="N656" s="10" t="str">
        <f t="shared" si="111"/>
        <v>Jan-00</v>
      </c>
      <c r="O656" s="17" t="s">
        <v>1402</v>
      </c>
      <c r="P656" s="17" t="s">
        <v>302</v>
      </c>
      <c r="Q656" s="45">
        <v>1478.7</v>
      </c>
      <c r="R656" s="45"/>
      <c r="S656" s="45">
        <f t="shared" si="144"/>
        <v>1478.7</v>
      </c>
      <c r="T656" s="146">
        <f t="shared" si="108"/>
        <v>1626.5700000000002</v>
      </c>
      <c r="U656" s="65"/>
      <c r="V656" s="65"/>
      <c r="W656" s="21">
        <f t="shared" ref="W656" si="146">SUM(U656:V656)</f>
        <v>0</v>
      </c>
      <c r="X656" s="22">
        <f t="shared" si="129"/>
        <v>1478.7</v>
      </c>
      <c r="Y656" s="35">
        <f t="shared" si="130"/>
        <v>1</v>
      </c>
      <c r="Z656" s="20"/>
      <c r="AA656" s="11"/>
      <c r="AB656" s="20"/>
      <c r="AC656" s="24" t="s">
        <v>73</v>
      </c>
      <c r="AD656" s="10" t="s">
        <v>47</v>
      </c>
      <c r="AE656" s="10">
        <v>43521</v>
      </c>
      <c r="AF656" s="63"/>
      <c r="AG656" s="10">
        <v>43595</v>
      </c>
      <c r="AH656" s="25">
        <f t="shared" si="112"/>
        <v>74</v>
      </c>
      <c r="AK656" s="27"/>
    </row>
    <row r="657" spans="1:37" s="26" customFormat="1" ht="15" customHeight="1" x14ac:dyDescent="0.45">
      <c r="A657" s="28" t="s">
        <v>41</v>
      </c>
      <c r="B657" s="8" t="s">
        <v>146</v>
      </c>
      <c r="C657" s="8" t="s">
        <v>36</v>
      </c>
      <c r="D657" s="9"/>
      <c r="E657" s="9"/>
      <c r="F657" s="10"/>
      <c r="G657" s="11">
        <v>43615</v>
      </c>
      <c r="H657" s="51"/>
      <c r="I657" s="52"/>
      <c r="J657" s="51"/>
      <c r="K657" s="51"/>
      <c r="L657" s="9"/>
      <c r="M657" s="10" t="str">
        <f t="shared" si="128"/>
        <v>May-19</v>
      </c>
      <c r="N657" s="10" t="str">
        <f t="shared" si="111"/>
        <v>Jan-00</v>
      </c>
      <c r="O657" s="17" t="s">
        <v>1403</v>
      </c>
      <c r="P657" s="17" t="s">
        <v>50</v>
      </c>
      <c r="Q657" s="45">
        <v>789.4</v>
      </c>
      <c r="R657" s="45"/>
      <c r="S657" s="45">
        <f t="shared" si="144"/>
        <v>789.4</v>
      </c>
      <c r="T657" s="146">
        <f t="shared" si="108"/>
        <v>868.34</v>
      </c>
      <c r="U657" s="65"/>
      <c r="V657" s="65"/>
      <c r="W657" s="21">
        <f t="shared" ref="W657" si="147">SUM(U657:V657)</f>
        <v>0</v>
      </c>
      <c r="X657" s="22">
        <f t="shared" si="129"/>
        <v>789.4</v>
      </c>
      <c r="Y657" s="35">
        <f t="shared" si="130"/>
        <v>1</v>
      </c>
      <c r="Z657" s="20"/>
      <c r="AA657" s="11"/>
      <c r="AB657" s="20"/>
      <c r="AC657" s="24" t="s">
        <v>73</v>
      </c>
      <c r="AD657" s="10" t="s">
        <v>47</v>
      </c>
      <c r="AE657" s="10">
        <v>43521</v>
      </c>
      <c r="AF657" s="63"/>
      <c r="AG657" s="10">
        <v>43598</v>
      </c>
      <c r="AH657" s="25">
        <f t="shared" si="112"/>
        <v>77</v>
      </c>
      <c r="AK657" s="27"/>
    </row>
    <row r="658" spans="1:37" s="26" customFormat="1" ht="15" customHeight="1" x14ac:dyDescent="0.45">
      <c r="A658" s="28" t="s">
        <v>41</v>
      </c>
      <c r="B658" s="8" t="s">
        <v>56</v>
      </c>
      <c r="C658" s="8" t="s">
        <v>57</v>
      </c>
      <c r="D658" s="9"/>
      <c r="E658" s="9"/>
      <c r="F658" s="10"/>
      <c r="G658" s="11">
        <v>43615</v>
      </c>
      <c r="H658" s="51"/>
      <c r="I658" s="52"/>
      <c r="J658" s="51"/>
      <c r="K658" s="51"/>
      <c r="L658" s="9"/>
      <c r="M658" s="10" t="str">
        <f t="shared" si="128"/>
        <v>May-19</v>
      </c>
      <c r="N658" s="10" t="str">
        <f t="shared" si="111"/>
        <v>Jan-00</v>
      </c>
      <c r="O658" s="17" t="s">
        <v>1404</v>
      </c>
      <c r="P658" s="17" t="s">
        <v>1405</v>
      </c>
      <c r="Q658" s="45">
        <v>1943.76</v>
      </c>
      <c r="R658" s="45"/>
      <c r="S658" s="45">
        <f t="shared" si="144"/>
        <v>1943.76</v>
      </c>
      <c r="T658" s="146">
        <f t="shared" si="108"/>
        <v>2138.136</v>
      </c>
      <c r="U658" s="65"/>
      <c r="V658" s="65"/>
      <c r="W658" s="21">
        <f t="shared" ref="W658" si="148">SUM(U658:V658)</f>
        <v>0</v>
      </c>
      <c r="X658" s="22">
        <f t="shared" si="129"/>
        <v>1943.76</v>
      </c>
      <c r="Y658" s="35">
        <f t="shared" si="130"/>
        <v>1</v>
      </c>
      <c r="Z658" s="20"/>
      <c r="AA658" s="11"/>
      <c r="AB658" s="20"/>
      <c r="AC658" s="24" t="s">
        <v>73</v>
      </c>
      <c r="AD658" s="10" t="s">
        <v>47</v>
      </c>
      <c r="AE658" s="10">
        <v>43521</v>
      </c>
      <c r="AF658" s="63"/>
      <c r="AG658" s="10">
        <v>43598</v>
      </c>
      <c r="AH658" s="25">
        <f t="shared" si="112"/>
        <v>77</v>
      </c>
      <c r="AK658" s="27"/>
    </row>
    <row r="659" spans="1:37" s="26" customFormat="1" ht="15" customHeight="1" x14ac:dyDescent="0.45">
      <c r="A659" s="28" t="s">
        <v>1127</v>
      </c>
      <c r="B659" s="8" t="s">
        <v>297</v>
      </c>
      <c r="C659" s="8" t="s">
        <v>378</v>
      </c>
      <c r="D659" s="9"/>
      <c r="E659" s="9"/>
      <c r="F659" s="10">
        <v>43538</v>
      </c>
      <c r="G659" s="11">
        <v>43539</v>
      </c>
      <c r="H659" s="51"/>
      <c r="I659" s="52"/>
      <c r="J659" s="51">
        <f>G659+14</f>
        <v>43553</v>
      </c>
      <c r="K659" s="51">
        <f>J659+14</f>
        <v>43567</v>
      </c>
      <c r="L659" s="9"/>
      <c r="M659" s="10" t="str">
        <f t="shared" si="128"/>
        <v>Mar-19</v>
      </c>
      <c r="N659" s="10" t="str">
        <f t="shared" si="111"/>
        <v>Apr-19</v>
      </c>
      <c r="O659" s="143" t="s">
        <v>1406</v>
      </c>
      <c r="P659" s="144" t="s">
        <v>932</v>
      </c>
      <c r="Q659" s="45">
        <v>6176</v>
      </c>
      <c r="R659" s="45"/>
      <c r="S659" s="45">
        <f t="shared" ref="S659" si="149">SUM(Q659:R659)</f>
        <v>6176</v>
      </c>
      <c r="T659" s="146">
        <f t="shared" si="108"/>
        <v>6793.6</v>
      </c>
      <c r="U659" s="65">
        <v>1085.95</v>
      </c>
      <c r="V659" s="65"/>
      <c r="W659" s="21">
        <f t="shared" ref="W659" si="150">SUM(U659:V659)</f>
        <v>1085.95</v>
      </c>
      <c r="X659" s="22">
        <f t="shared" si="129"/>
        <v>5090.05</v>
      </c>
      <c r="Y659" s="35">
        <f t="shared" si="130"/>
        <v>0.82416612694300517</v>
      </c>
      <c r="Z659" s="20"/>
      <c r="AA659" s="11"/>
      <c r="AB659" s="20"/>
      <c r="AC659" s="24" t="s">
        <v>114</v>
      </c>
      <c r="AD659" s="10" t="s">
        <v>47</v>
      </c>
      <c r="AE659" s="10">
        <v>43522</v>
      </c>
      <c r="AF659" s="63"/>
      <c r="AG659" s="10">
        <v>43543</v>
      </c>
      <c r="AH659" s="25">
        <f t="shared" si="112"/>
        <v>21</v>
      </c>
      <c r="AK659" s="27"/>
    </row>
    <row r="660" spans="1:37" s="26" customFormat="1" ht="15" customHeight="1" x14ac:dyDescent="0.45">
      <c r="A660" s="152" t="s">
        <v>1368</v>
      </c>
      <c r="B660" s="8" t="s">
        <v>129</v>
      </c>
      <c r="C660" s="8" t="s">
        <v>57</v>
      </c>
      <c r="D660" s="9"/>
      <c r="E660" s="9"/>
      <c r="F660" s="10"/>
      <c r="G660" s="11">
        <v>43586</v>
      </c>
      <c r="H660" s="51"/>
      <c r="I660" s="52"/>
      <c r="J660" s="51"/>
      <c r="K660" s="51"/>
      <c r="L660" s="9"/>
      <c r="M660" s="10" t="str">
        <f t="shared" si="128"/>
        <v>May-19</v>
      </c>
      <c r="N660" s="10" t="str">
        <f t="shared" si="111"/>
        <v>Jan-00</v>
      </c>
      <c r="O660" s="153" t="s">
        <v>1407</v>
      </c>
      <c r="P660" s="153" t="s">
        <v>1408</v>
      </c>
      <c r="Q660" s="95">
        <v>0</v>
      </c>
      <c r="R660" s="95"/>
      <c r="S660" s="95">
        <v>0</v>
      </c>
      <c r="T660" s="146">
        <f t="shared" si="108"/>
        <v>0</v>
      </c>
      <c r="U660" s="89">
        <v>1150</v>
      </c>
      <c r="V660" s="89"/>
      <c r="W660" s="78">
        <f t="shared" ref="W660:W662" si="151">SUM(U660:V660)</f>
        <v>1150</v>
      </c>
      <c r="X660" s="79">
        <f t="shared" si="129"/>
        <v>-1150</v>
      </c>
      <c r="Y660" s="35" t="e">
        <f t="shared" si="130"/>
        <v>#DIV/0!</v>
      </c>
      <c r="Z660" s="20"/>
      <c r="AA660" s="11"/>
      <c r="AB660" s="20"/>
      <c r="AC660" s="24" t="s">
        <v>1409</v>
      </c>
      <c r="AD660" s="10"/>
      <c r="AE660" s="10"/>
      <c r="AF660" s="63"/>
      <c r="AG660" s="10"/>
      <c r="AH660" s="25"/>
      <c r="AK660" s="27"/>
    </row>
    <row r="661" spans="1:37" s="26" customFormat="1" ht="15" customHeight="1" x14ac:dyDescent="0.45">
      <c r="A661" s="28" t="s">
        <v>1127</v>
      </c>
      <c r="B661" s="8" t="s">
        <v>297</v>
      </c>
      <c r="C661" s="8" t="s">
        <v>378</v>
      </c>
      <c r="D661" s="9"/>
      <c r="E661" s="9"/>
      <c r="F661" s="10">
        <v>43538</v>
      </c>
      <c r="G661" s="11">
        <v>43539</v>
      </c>
      <c r="H661" s="51"/>
      <c r="I661" s="52"/>
      <c r="J661" s="51">
        <v>43553</v>
      </c>
      <c r="K661" s="51">
        <v>43567</v>
      </c>
      <c r="L661" s="9"/>
      <c r="M661" s="10" t="str">
        <f t="shared" si="128"/>
        <v>Mar-19</v>
      </c>
      <c r="N661" s="10" t="str">
        <f t="shared" si="111"/>
        <v>Apr-19</v>
      </c>
      <c r="O661" s="143" t="s">
        <v>1410</v>
      </c>
      <c r="P661" s="144" t="s">
        <v>1411</v>
      </c>
      <c r="Q661" s="45">
        <v>4427</v>
      </c>
      <c r="R661" s="45"/>
      <c r="S661" s="45">
        <f t="shared" ref="S661:S662" si="152">SUM(Q661:R661)</f>
        <v>4427</v>
      </c>
      <c r="T661" s="146">
        <f t="shared" si="108"/>
        <v>4869.7000000000007</v>
      </c>
      <c r="U661" s="65">
        <v>1168.95</v>
      </c>
      <c r="V661" s="65"/>
      <c r="W661" s="21">
        <f t="shared" si="151"/>
        <v>1168.95</v>
      </c>
      <c r="X661" s="22">
        <f t="shared" si="129"/>
        <v>3258.05</v>
      </c>
      <c r="Y661" s="35">
        <f t="shared" si="130"/>
        <v>0.73594985317370687</v>
      </c>
      <c r="Z661" s="20"/>
      <c r="AA661" s="11"/>
      <c r="AB661" s="20"/>
      <c r="AC661" s="24" t="s">
        <v>114</v>
      </c>
      <c r="AD661" s="10" t="s">
        <v>47</v>
      </c>
      <c r="AE661" s="10">
        <v>43523</v>
      </c>
      <c r="AF661" s="63"/>
      <c r="AG661" s="10">
        <v>43543</v>
      </c>
      <c r="AH661" s="25">
        <f t="shared" ref="AH661:AH685" si="153">AG661-AE661</f>
        <v>20</v>
      </c>
      <c r="AK661" s="27"/>
    </row>
    <row r="662" spans="1:37" s="26" customFormat="1" ht="15" customHeight="1" x14ac:dyDescent="0.45">
      <c r="A662" s="28" t="s">
        <v>1127</v>
      </c>
      <c r="B662" s="8" t="s">
        <v>100</v>
      </c>
      <c r="C662" s="8" t="s">
        <v>378</v>
      </c>
      <c r="D662" s="9"/>
      <c r="E662" s="9"/>
      <c r="F662" s="10"/>
      <c r="G662" s="11">
        <v>43585</v>
      </c>
      <c r="H662" s="51"/>
      <c r="I662" s="52"/>
      <c r="J662" s="51"/>
      <c r="K662" s="51"/>
      <c r="L662" s="9"/>
      <c r="M662" s="10" t="str">
        <f t="shared" si="128"/>
        <v>Apr-19</v>
      </c>
      <c r="N662" s="10" t="str">
        <f t="shared" si="111"/>
        <v>Jan-00</v>
      </c>
      <c r="O662" s="143" t="s">
        <v>1412</v>
      </c>
      <c r="P662" s="144" t="s">
        <v>1413</v>
      </c>
      <c r="Q662" s="45">
        <v>11702</v>
      </c>
      <c r="R662" s="45"/>
      <c r="S662" s="45">
        <f t="shared" si="152"/>
        <v>11702</v>
      </c>
      <c r="T662" s="146">
        <f t="shared" si="108"/>
        <v>12872.2</v>
      </c>
      <c r="U662" s="65"/>
      <c r="V662" s="65"/>
      <c r="W662" s="21">
        <f t="shared" si="151"/>
        <v>0</v>
      </c>
      <c r="X662" s="22">
        <f t="shared" si="129"/>
        <v>11702</v>
      </c>
      <c r="Y662" s="35">
        <f t="shared" si="130"/>
        <v>1</v>
      </c>
      <c r="Z662" s="20"/>
      <c r="AA662" s="11"/>
      <c r="AB662" s="20"/>
      <c r="AC662" s="24" t="s">
        <v>114</v>
      </c>
      <c r="AD662" s="10" t="s">
        <v>47</v>
      </c>
      <c r="AE662" s="10">
        <v>43523</v>
      </c>
      <c r="AF662" s="63"/>
      <c r="AG662" s="10">
        <v>43543</v>
      </c>
      <c r="AH662" s="25">
        <f t="shared" si="153"/>
        <v>20</v>
      </c>
      <c r="AK662" s="27"/>
    </row>
    <row r="663" spans="1:37" s="26" customFormat="1" ht="15" customHeight="1" x14ac:dyDescent="0.45">
      <c r="A663" s="28" t="s">
        <v>1127</v>
      </c>
      <c r="B663" s="8" t="s">
        <v>297</v>
      </c>
      <c r="C663" s="8" t="s">
        <v>378</v>
      </c>
      <c r="D663" s="9"/>
      <c r="E663" s="9"/>
      <c r="F663" s="10">
        <v>43538</v>
      </c>
      <c r="G663" s="11">
        <v>43539</v>
      </c>
      <c r="H663" s="51"/>
      <c r="I663" s="52"/>
      <c r="J663" s="51">
        <f>G663+14</f>
        <v>43553</v>
      </c>
      <c r="K663" s="51">
        <f>J663+14</f>
        <v>43567</v>
      </c>
      <c r="L663" s="9"/>
      <c r="M663" s="10" t="str">
        <f t="shared" si="128"/>
        <v>Mar-19</v>
      </c>
      <c r="N663" s="10" t="str">
        <f t="shared" si="111"/>
        <v>Apr-19</v>
      </c>
      <c r="O663" s="143" t="s">
        <v>1414</v>
      </c>
      <c r="P663" s="144" t="s">
        <v>939</v>
      </c>
      <c r="Q663" s="45">
        <v>6653</v>
      </c>
      <c r="R663" s="45"/>
      <c r="S663" s="45">
        <f t="shared" ref="S663:S671" si="154">SUM(Q663:R663)</f>
        <v>6653</v>
      </c>
      <c r="T663" s="146">
        <f t="shared" si="108"/>
        <v>7318.3</v>
      </c>
      <c r="U663" s="65">
        <v>1600.55</v>
      </c>
      <c r="V663" s="65"/>
      <c r="W663" s="21">
        <f t="shared" ref="W663" si="155">SUM(U663:V663)</f>
        <v>1600.55</v>
      </c>
      <c r="X663" s="22">
        <f t="shared" si="129"/>
        <v>5052.45</v>
      </c>
      <c r="Y663" s="35">
        <f t="shared" si="130"/>
        <v>0.75942431985570413</v>
      </c>
      <c r="Z663" s="20"/>
      <c r="AA663" s="11"/>
      <c r="AB663" s="20"/>
      <c r="AC663" s="24" t="s">
        <v>114</v>
      </c>
      <c r="AD663" s="10" t="s">
        <v>47</v>
      </c>
      <c r="AE663" s="10">
        <v>43523</v>
      </c>
      <c r="AF663" s="63"/>
      <c r="AG663" s="10">
        <v>43543</v>
      </c>
      <c r="AH663" s="25">
        <f t="shared" si="153"/>
        <v>20</v>
      </c>
      <c r="AK663" s="27"/>
    </row>
    <row r="664" spans="1:37" s="26" customFormat="1" ht="15" customHeight="1" x14ac:dyDescent="0.45">
      <c r="A664" s="28" t="s">
        <v>1127</v>
      </c>
      <c r="B664" s="8" t="s">
        <v>100</v>
      </c>
      <c r="C664" s="8" t="s">
        <v>378</v>
      </c>
      <c r="D664" s="9"/>
      <c r="E664" s="9"/>
      <c r="F664" s="10"/>
      <c r="G664" s="11">
        <v>43585</v>
      </c>
      <c r="H664" s="51"/>
      <c r="I664" s="52"/>
      <c r="J664" s="51"/>
      <c r="K664" s="51"/>
      <c r="L664" s="9"/>
      <c r="M664" s="10" t="str">
        <f t="shared" si="128"/>
        <v>Apr-19</v>
      </c>
      <c r="N664" s="10" t="str">
        <f t="shared" si="111"/>
        <v>Jan-00</v>
      </c>
      <c r="O664" s="143" t="s">
        <v>1415</v>
      </c>
      <c r="P664" s="144" t="s">
        <v>1416</v>
      </c>
      <c r="Q664" s="45">
        <v>15995</v>
      </c>
      <c r="R664" s="45"/>
      <c r="S664" s="45">
        <f t="shared" si="154"/>
        <v>15995</v>
      </c>
      <c r="T664" s="146">
        <f t="shared" si="108"/>
        <v>17594.5</v>
      </c>
      <c r="U664" s="65"/>
      <c r="V664" s="65"/>
      <c r="W664" s="21">
        <f t="shared" ref="W664" si="156">SUM(U664:V664)</f>
        <v>0</v>
      </c>
      <c r="X664" s="22">
        <f t="shared" si="129"/>
        <v>15995</v>
      </c>
      <c r="Y664" s="35">
        <f t="shared" si="130"/>
        <v>1</v>
      </c>
      <c r="Z664" s="20"/>
      <c r="AA664" s="11"/>
      <c r="AB664" s="20"/>
      <c r="AC664" s="24" t="s">
        <v>114</v>
      </c>
      <c r="AD664" s="10" t="s">
        <v>47</v>
      </c>
      <c r="AE664" s="10">
        <v>43523</v>
      </c>
      <c r="AF664" s="63"/>
      <c r="AG664" s="10">
        <v>43543</v>
      </c>
      <c r="AH664" s="25">
        <f t="shared" si="153"/>
        <v>20</v>
      </c>
      <c r="AK664" s="27"/>
    </row>
    <row r="665" spans="1:37" s="26" customFormat="1" ht="15" customHeight="1" x14ac:dyDescent="0.45">
      <c r="A665" s="28" t="s">
        <v>1127</v>
      </c>
      <c r="B665" s="8" t="s">
        <v>512</v>
      </c>
      <c r="C665" s="8" t="s">
        <v>378</v>
      </c>
      <c r="D665" s="9"/>
      <c r="E665" s="9"/>
      <c r="F665" s="10">
        <v>43538</v>
      </c>
      <c r="G665" s="11">
        <v>43539</v>
      </c>
      <c r="H665" s="51"/>
      <c r="I665" s="52"/>
      <c r="J665" s="51">
        <f>G665+14</f>
        <v>43553</v>
      </c>
      <c r="K665" s="51">
        <f>J665+14</f>
        <v>43567</v>
      </c>
      <c r="L665" s="9"/>
      <c r="M665" s="10" t="str">
        <f t="shared" si="128"/>
        <v>Mar-19</v>
      </c>
      <c r="N665" s="10" t="str">
        <f t="shared" si="111"/>
        <v>Apr-19</v>
      </c>
      <c r="O665" s="143" t="s">
        <v>1417</v>
      </c>
      <c r="P665" s="144" t="s">
        <v>881</v>
      </c>
      <c r="Q665" s="45">
        <v>6653</v>
      </c>
      <c r="R665" s="45"/>
      <c r="S665" s="45">
        <f t="shared" si="154"/>
        <v>6653</v>
      </c>
      <c r="T665" s="146">
        <f t="shared" ref="T665:T728" si="157">S665*1.1</f>
        <v>7318.3</v>
      </c>
      <c r="U665" s="65"/>
      <c r="V665" s="65"/>
      <c r="W665" s="21">
        <f t="shared" ref="W665:W669" si="158">SUM(U665:V665)</f>
        <v>0</v>
      </c>
      <c r="X665" s="22">
        <f t="shared" si="129"/>
        <v>6653</v>
      </c>
      <c r="Y665" s="35">
        <f t="shared" si="130"/>
        <v>1</v>
      </c>
      <c r="Z665" s="20"/>
      <c r="AA665" s="11"/>
      <c r="AB665" s="20"/>
      <c r="AC665" s="24" t="s">
        <v>114</v>
      </c>
      <c r="AD665" s="10" t="s">
        <v>47</v>
      </c>
      <c r="AE665" s="10">
        <v>43523</v>
      </c>
      <c r="AF665" s="63"/>
      <c r="AG665" s="10">
        <v>43543</v>
      </c>
      <c r="AH665" s="25">
        <f t="shared" si="153"/>
        <v>20</v>
      </c>
      <c r="AK665" s="27"/>
    </row>
    <row r="666" spans="1:37" s="26" customFormat="1" ht="15" customHeight="1" x14ac:dyDescent="0.45">
      <c r="A666" s="28" t="s">
        <v>1127</v>
      </c>
      <c r="B666" s="8" t="s">
        <v>297</v>
      </c>
      <c r="C666" s="8" t="s">
        <v>378</v>
      </c>
      <c r="D666" s="9"/>
      <c r="E666" s="9"/>
      <c r="F666" s="10"/>
      <c r="G666" s="11">
        <v>43585</v>
      </c>
      <c r="H666" s="51"/>
      <c r="I666" s="52"/>
      <c r="J666" s="51"/>
      <c r="K666" s="51"/>
      <c r="L666" s="9"/>
      <c r="M666" s="10" t="str">
        <f t="shared" si="128"/>
        <v>Apr-19</v>
      </c>
      <c r="N666" s="10" t="str">
        <f t="shared" si="111"/>
        <v>Jan-00</v>
      </c>
      <c r="O666" s="143" t="s">
        <v>1418</v>
      </c>
      <c r="P666" s="144" t="s">
        <v>1419</v>
      </c>
      <c r="Q666" s="45">
        <v>12497</v>
      </c>
      <c r="R666" s="45"/>
      <c r="S666" s="45">
        <f t="shared" si="154"/>
        <v>12497</v>
      </c>
      <c r="T666" s="146">
        <f t="shared" si="157"/>
        <v>13746.7</v>
      </c>
      <c r="U666" s="65">
        <v>2197.3000000000002</v>
      </c>
      <c r="V666" s="65"/>
      <c r="W666" s="21">
        <f t="shared" si="158"/>
        <v>2197.3000000000002</v>
      </c>
      <c r="X666" s="22">
        <f t="shared" si="129"/>
        <v>10299.700000000001</v>
      </c>
      <c r="Y666" s="35">
        <f t="shared" si="130"/>
        <v>0.82417380171241106</v>
      </c>
      <c r="Z666" s="20"/>
      <c r="AA666" s="11"/>
      <c r="AB666" s="20"/>
      <c r="AC666" s="24" t="s">
        <v>114</v>
      </c>
      <c r="AD666" s="10" t="s">
        <v>47</v>
      </c>
      <c r="AE666" s="10">
        <v>43523</v>
      </c>
      <c r="AF666" s="63"/>
      <c r="AG666" s="10">
        <v>43543</v>
      </c>
      <c r="AH666" s="25">
        <f t="shared" si="153"/>
        <v>20</v>
      </c>
      <c r="AK666" s="27"/>
    </row>
    <row r="667" spans="1:37" s="26" customFormat="1" ht="15" customHeight="1" x14ac:dyDescent="0.45">
      <c r="A667" s="28" t="s">
        <v>41</v>
      </c>
      <c r="B667" s="8" t="s">
        <v>512</v>
      </c>
      <c r="C667" s="8" t="s">
        <v>36</v>
      </c>
      <c r="D667" s="9"/>
      <c r="E667" s="9"/>
      <c r="F667" s="10"/>
      <c r="G667" s="11">
        <v>43615</v>
      </c>
      <c r="H667" s="51"/>
      <c r="I667" s="52"/>
      <c r="J667" s="51"/>
      <c r="K667" s="51"/>
      <c r="L667" s="9"/>
      <c r="M667" s="10" t="str">
        <f t="shared" si="128"/>
        <v>May-19</v>
      </c>
      <c r="N667" s="10" t="str">
        <f t="shared" si="111"/>
        <v>Jan-00</v>
      </c>
      <c r="O667" s="17" t="s">
        <v>1420</v>
      </c>
      <c r="P667" s="17" t="s">
        <v>1421</v>
      </c>
      <c r="Q667" s="45">
        <v>1316.22</v>
      </c>
      <c r="R667" s="45"/>
      <c r="S667" s="45">
        <f t="shared" si="154"/>
        <v>1316.22</v>
      </c>
      <c r="T667" s="146">
        <f t="shared" si="157"/>
        <v>1447.8420000000001</v>
      </c>
      <c r="U667" s="65"/>
      <c r="V667" s="65"/>
      <c r="W667" s="21">
        <f t="shared" si="158"/>
        <v>0</v>
      </c>
      <c r="X667" s="22">
        <f t="shared" si="129"/>
        <v>1316.22</v>
      </c>
      <c r="Y667" s="35">
        <f t="shared" si="130"/>
        <v>1</v>
      </c>
      <c r="Z667" s="20"/>
      <c r="AA667" s="11"/>
      <c r="AB667" s="20"/>
      <c r="AC667" s="24" t="s">
        <v>73</v>
      </c>
      <c r="AD667" s="10" t="s">
        <v>47</v>
      </c>
      <c r="AE667" s="10">
        <v>43524</v>
      </c>
      <c r="AF667" s="63"/>
      <c r="AG667" s="10">
        <v>43595</v>
      </c>
      <c r="AH667" s="25">
        <f t="shared" si="153"/>
        <v>71</v>
      </c>
      <c r="AK667" s="27"/>
    </row>
    <row r="668" spans="1:37" s="26" customFormat="1" ht="15" customHeight="1" x14ac:dyDescent="0.45">
      <c r="A668" s="28" t="s">
        <v>1336</v>
      </c>
      <c r="B668" s="8" t="s">
        <v>42</v>
      </c>
      <c r="C668" s="28" t="s">
        <v>43</v>
      </c>
      <c r="D668" s="9"/>
      <c r="E668" s="9"/>
      <c r="F668" s="10"/>
      <c r="G668" s="11">
        <v>43615</v>
      </c>
      <c r="H668" s="51"/>
      <c r="I668" s="52"/>
      <c r="J668" s="51"/>
      <c r="K668" s="51"/>
      <c r="L668" s="9"/>
      <c r="M668" s="10" t="str">
        <f t="shared" si="128"/>
        <v>May-19</v>
      </c>
      <c r="N668" s="10" t="str">
        <f t="shared" si="111"/>
        <v>Jan-00</v>
      </c>
      <c r="O668" s="17" t="s">
        <v>1422</v>
      </c>
      <c r="P668" s="17" t="s">
        <v>160</v>
      </c>
      <c r="Q668" s="45">
        <v>881.93</v>
      </c>
      <c r="R668" s="45"/>
      <c r="S668" s="45">
        <f t="shared" si="154"/>
        <v>881.93</v>
      </c>
      <c r="T668" s="146">
        <f t="shared" si="157"/>
        <v>970.12300000000005</v>
      </c>
      <c r="U668" s="65">
        <v>650</v>
      </c>
      <c r="V668" s="65"/>
      <c r="W668" s="21">
        <f t="shared" si="158"/>
        <v>650</v>
      </c>
      <c r="X668" s="22">
        <f t="shared" si="129"/>
        <v>231.92999999999995</v>
      </c>
      <c r="Y668" s="35">
        <f t="shared" si="130"/>
        <v>0.26298005510641431</v>
      </c>
      <c r="Z668" s="20"/>
      <c r="AA668" s="11"/>
      <c r="AB668" s="20"/>
      <c r="AC668" s="24" t="s">
        <v>73</v>
      </c>
      <c r="AD668" s="10" t="s">
        <v>47</v>
      </c>
      <c r="AE668" s="10">
        <v>43524</v>
      </c>
      <c r="AF668" s="63"/>
      <c r="AG668" s="10">
        <v>43595</v>
      </c>
      <c r="AH668" s="25">
        <f t="shared" si="153"/>
        <v>71</v>
      </c>
      <c r="AK668" s="27"/>
    </row>
    <row r="669" spans="1:37" s="26" customFormat="1" ht="15" customHeight="1" x14ac:dyDescent="0.45">
      <c r="A669" s="28" t="s">
        <v>774</v>
      </c>
      <c r="B669" s="8" t="s">
        <v>146</v>
      </c>
      <c r="C669" s="8" t="s">
        <v>36</v>
      </c>
      <c r="D669" s="9"/>
      <c r="E669" s="9"/>
      <c r="F669" s="10"/>
      <c r="G669" s="11">
        <v>43646</v>
      </c>
      <c r="H669" s="51"/>
      <c r="I669" s="52"/>
      <c r="J669" s="51"/>
      <c r="K669" s="51"/>
      <c r="L669" s="9"/>
      <c r="M669" s="10" t="str">
        <f t="shared" si="128"/>
        <v>Jun-19</v>
      </c>
      <c r="N669" s="10" t="str">
        <f t="shared" si="111"/>
        <v>Jan-00</v>
      </c>
      <c r="O669" s="113" t="s">
        <v>1423</v>
      </c>
      <c r="P669" s="113" t="s">
        <v>860</v>
      </c>
      <c r="Q669" s="45">
        <f>44541.83-Q670</f>
        <v>31179.281000000003</v>
      </c>
      <c r="R669" s="45"/>
      <c r="S669" s="45">
        <f t="shared" si="154"/>
        <v>31179.281000000003</v>
      </c>
      <c r="T669" s="146">
        <f t="shared" si="157"/>
        <v>34297.209100000007</v>
      </c>
      <c r="U669" s="65">
        <v>1500</v>
      </c>
      <c r="V669" s="65"/>
      <c r="W669" s="21">
        <f t="shared" si="158"/>
        <v>1500</v>
      </c>
      <c r="X669" s="22">
        <f t="shared" si="129"/>
        <v>29679.281000000003</v>
      </c>
      <c r="Y669" s="35">
        <f t="shared" si="130"/>
        <v>0.95189112924060049</v>
      </c>
      <c r="Z669" s="20"/>
      <c r="AA669" s="11"/>
      <c r="AB669" s="20"/>
      <c r="AC669" s="24" t="s">
        <v>69</v>
      </c>
      <c r="AD669" s="10" t="s">
        <v>47</v>
      </c>
      <c r="AE669" s="10">
        <v>43521</v>
      </c>
      <c r="AF669" s="63"/>
      <c r="AG669" s="10">
        <v>43617</v>
      </c>
      <c r="AH669" s="25">
        <f t="shared" si="153"/>
        <v>96</v>
      </c>
      <c r="AK669" s="27"/>
    </row>
    <row r="670" spans="1:37" s="26" customFormat="1" ht="15" customHeight="1" x14ac:dyDescent="0.45">
      <c r="A670" s="28" t="s">
        <v>546</v>
      </c>
      <c r="B670" s="8" t="s">
        <v>146</v>
      </c>
      <c r="C670" s="8" t="s">
        <v>36</v>
      </c>
      <c r="D670" s="9" t="s">
        <v>1424</v>
      </c>
      <c r="E670" s="9">
        <v>43538</v>
      </c>
      <c r="F670" s="10">
        <v>43533</v>
      </c>
      <c r="G670" s="11">
        <v>43533</v>
      </c>
      <c r="H670" s="67"/>
      <c r="I670" s="68"/>
      <c r="J670" s="67"/>
      <c r="K670" s="14">
        <v>43538</v>
      </c>
      <c r="L670" s="9"/>
      <c r="M670" s="10" t="str">
        <f t="shared" si="128"/>
        <v>Mar-19</v>
      </c>
      <c r="N670" s="10" t="str">
        <f t="shared" si="111"/>
        <v>Mar-19</v>
      </c>
      <c r="O670" s="113" t="s">
        <v>1423</v>
      </c>
      <c r="P670" s="113" t="s">
        <v>860</v>
      </c>
      <c r="Q670" s="45">
        <f>44541.83*0.3</f>
        <v>13362.549000000001</v>
      </c>
      <c r="R670" s="73"/>
      <c r="S670" s="45">
        <f t="shared" ref="S670" si="159">SUM(Q670:R670)</f>
        <v>13362.549000000001</v>
      </c>
      <c r="T670" s="146">
        <f t="shared" si="157"/>
        <v>14698.803900000003</v>
      </c>
      <c r="U670" s="65"/>
      <c r="V670" s="65"/>
      <c r="W670" s="21">
        <f t="shared" ref="W670:W675" si="160">SUM(U670:V670)</f>
        <v>0</v>
      </c>
      <c r="X670" s="22">
        <f t="shared" si="129"/>
        <v>13362.549000000001</v>
      </c>
      <c r="Y670" s="35">
        <f t="shared" si="130"/>
        <v>1</v>
      </c>
      <c r="Z670" s="20"/>
      <c r="AA670" s="11"/>
      <c r="AB670" s="20"/>
      <c r="AC670" s="24" t="s">
        <v>69</v>
      </c>
      <c r="AD670" s="10" t="s">
        <v>47</v>
      </c>
      <c r="AE670" s="10">
        <v>43521</v>
      </c>
      <c r="AF670" s="63"/>
      <c r="AG670" s="10">
        <v>43617</v>
      </c>
      <c r="AH670" s="25">
        <f t="shared" si="153"/>
        <v>96</v>
      </c>
      <c r="AK670" s="27"/>
    </row>
    <row r="671" spans="1:37" s="26" customFormat="1" ht="15" customHeight="1" x14ac:dyDescent="0.45">
      <c r="A671" s="28" t="s">
        <v>41</v>
      </c>
      <c r="B671" s="8" t="s">
        <v>739</v>
      </c>
      <c r="C671" s="28" t="s">
        <v>43</v>
      </c>
      <c r="D671" s="9"/>
      <c r="E671" s="9"/>
      <c r="F671" s="10"/>
      <c r="G671" s="11">
        <v>43646</v>
      </c>
      <c r="H671" s="51"/>
      <c r="I671" s="52"/>
      <c r="J671" s="51"/>
      <c r="K671" s="51"/>
      <c r="L671" s="9"/>
      <c r="M671" s="10" t="str">
        <f t="shared" si="128"/>
        <v>Jun-19</v>
      </c>
      <c r="N671" s="10" t="str">
        <f t="shared" si="111"/>
        <v>Jan-00</v>
      </c>
      <c r="O671" s="17" t="s">
        <v>1425</v>
      </c>
      <c r="P671" s="17" t="s">
        <v>1109</v>
      </c>
      <c r="Q671" s="45">
        <v>10719.51</v>
      </c>
      <c r="R671" s="45"/>
      <c r="S671" s="45">
        <f t="shared" si="154"/>
        <v>10719.51</v>
      </c>
      <c r="T671" s="146">
        <f t="shared" si="157"/>
        <v>11791.461000000001</v>
      </c>
      <c r="U671" s="65"/>
      <c r="V671" s="65"/>
      <c r="W671" s="21">
        <f t="shared" si="160"/>
        <v>0</v>
      </c>
      <c r="X671" s="22">
        <f t="shared" si="129"/>
        <v>10719.51</v>
      </c>
      <c r="Y671" s="35">
        <f t="shared" si="130"/>
        <v>1</v>
      </c>
      <c r="Z671" s="20"/>
      <c r="AA671" s="11"/>
      <c r="AB671" s="20"/>
      <c r="AC671" s="24" t="s">
        <v>73</v>
      </c>
      <c r="AD671" s="10" t="s">
        <v>47</v>
      </c>
      <c r="AE671" s="10">
        <v>43524</v>
      </c>
      <c r="AF671" s="63"/>
      <c r="AG671" s="10">
        <v>43595</v>
      </c>
      <c r="AH671" s="25">
        <f t="shared" si="153"/>
        <v>71</v>
      </c>
      <c r="AK671" s="27"/>
    </row>
    <row r="672" spans="1:37" s="26" customFormat="1" ht="15" customHeight="1" x14ac:dyDescent="0.45">
      <c r="A672" s="28" t="s">
        <v>1336</v>
      </c>
      <c r="B672" s="8" t="s">
        <v>42</v>
      </c>
      <c r="C672" s="28" t="s">
        <v>43</v>
      </c>
      <c r="D672" s="9"/>
      <c r="E672" s="9"/>
      <c r="F672" s="10"/>
      <c r="G672" s="11">
        <v>43615</v>
      </c>
      <c r="H672" s="51"/>
      <c r="I672" s="52"/>
      <c r="J672" s="51"/>
      <c r="K672" s="51"/>
      <c r="L672" s="9"/>
      <c r="M672" s="10" t="str">
        <f t="shared" si="128"/>
        <v>May-19</v>
      </c>
      <c r="N672" s="10" t="str">
        <f t="shared" si="111"/>
        <v>Jan-00</v>
      </c>
      <c r="O672" s="17" t="s">
        <v>1426</v>
      </c>
      <c r="P672" s="17" t="s">
        <v>72</v>
      </c>
      <c r="Q672" s="45">
        <v>363.5</v>
      </c>
      <c r="R672" s="45"/>
      <c r="S672" s="45">
        <f t="shared" ref="S672:S679" si="161">SUM(Q672:R672)</f>
        <v>363.5</v>
      </c>
      <c r="T672" s="146">
        <f t="shared" si="157"/>
        <v>399.85</v>
      </c>
      <c r="U672" s="65">
        <v>650</v>
      </c>
      <c r="V672" s="65"/>
      <c r="W672" s="21">
        <f t="shared" si="160"/>
        <v>650</v>
      </c>
      <c r="X672" s="79">
        <f t="shared" si="129"/>
        <v>-286.5</v>
      </c>
      <c r="Y672" s="80">
        <f t="shared" si="130"/>
        <v>-0.78817056396148555</v>
      </c>
      <c r="Z672" s="20"/>
      <c r="AA672" s="11"/>
      <c r="AB672" s="20"/>
      <c r="AC672" s="24" t="s">
        <v>73</v>
      </c>
      <c r="AD672" s="10" t="s">
        <v>47</v>
      </c>
      <c r="AE672" s="10">
        <v>43524</v>
      </c>
      <c r="AF672" s="63"/>
      <c r="AG672" s="10">
        <v>43595</v>
      </c>
      <c r="AH672" s="25">
        <f t="shared" si="153"/>
        <v>71</v>
      </c>
      <c r="AK672" s="27"/>
    </row>
    <row r="673" spans="1:37" s="26" customFormat="1" ht="15" customHeight="1" x14ac:dyDescent="0.45">
      <c r="A673" s="8" t="s">
        <v>34</v>
      </c>
      <c r="B673" s="8" t="s">
        <v>100</v>
      </c>
      <c r="C673" s="8" t="s">
        <v>57</v>
      </c>
      <c r="D673" s="9"/>
      <c r="E673" s="9"/>
      <c r="F673" s="10"/>
      <c r="G673" s="11">
        <v>43646</v>
      </c>
      <c r="H673" s="51"/>
      <c r="I673" s="52"/>
      <c r="J673" s="51"/>
      <c r="K673" s="51"/>
      <c r="L673" s="9"/>
      <c r="M673" s="10" t="str">
        <f t="shared" si="128"/>
        <v>Jun-19</v>
      </c>
      <c r="N673" s="10" t="str">
        <f t="shared" si="111"/>
        <v>Jan-00</v>
      </c>
      <c r="O673" s="17" t="s">
        <v>1427</v>
      </c>
      <c r="P673" s="17" t="s">
        <v>554</v>
      </c>
      <c r="Q673" s="45">
        <v>1961</v>
      </c>
      <c r="R673" s="45"/>
      <c r="S673" s="45">
        <f t="shared" si="161"/>
        <v>1961</v>
      </c>
      <c r="T673" s="146">
        <f t="shared" si="157"/>
        <v>2157.1000000000004</v>
      </c>
      <c r="U673" s="65"/>
      <c r="V673" s="65"/>
      <c r="W673" s="21">
        <f t="shared" si="160"/>
        <v>0</v>
      </c>
      <c r="X673" s="22">
        <f t="shared" si="129"/>
        <v>1961</v>
      </c>
      <c r="Y673" s="35">
        <f t="shared" si="130"/>
        <v>1</v>
      </c>
      <c r="Z673" s="20"/>
      <c r="AA673" s="11"/>
      <c r="AB673" s="20"/>
      <c r="AC673" s="24" t="s">
        <v>69</v>
      </c>
      <c r="AD673" s="10">
        <v>43517</v>
      </c>
      <c r="AE673" s="10">
        <v>43524</v>
      </c>
      <c r="AF673" s="63">
        <f t="shared" ref="AF673:AF674" si="162">AE673-AD673</f>
        <v>7</v>
      </c>
      <c r="AG673" s="10">
        <v>43617</v>
      </c>
      <c r="AH673" s="25">
        <f t="shared" si="153"/>
        <v>93</v>
      </c>
      <c r="AK673" s="27"/>
    </row>
    <row r="674" spans="1:37" s="26" customFormat="1" ht="15" customHeight="1" x14ac:dyDescent="0.45">
      <c r="A674" s="8" t="s">
        <v>34</v>
      </c>
      <c r="B674" s="8" t="s">
        <v>297</v>
      </c>
      <c r="C674" s="28" t="s">
        <v>36</v>
      </c>
      <c r="D674" s="9"/>
      <c r="E674" s="9"/>
      <c r="F674" s="10"/>
      <c r="G674" s="11">
        <v>43554</v>
      </c>
      <c r="H674" s="51"/>
      <c r="I674" s="52"/>
      <c r="J674" s="51"/>
      <c r="K674" s="51"/>
      <c r="L674" s="9"/>
      <c r="M674" s="10" t="str">
        <f t="shared" si="128"/>
        <v>Mar-19</v>
      </c>
      <c r="N674" s="10" t="str">
        <f t="shared" si="111"/>
        <v>Jan-00</v>
      </c>
      <c r="O674" s="17" t="s">
        <v>1428</v>
      </c>
      <c r="P674" s="17" t="s">
        <v>1429</v>
      </c>
      <c r="Q674" s="45">
        <v>17140.810000000001</v>
      </c>
      <c r="R674" s="45"/>
      <c r="S674" s="45">
        <f t="shared" si="161"/>
        <v>17140.810000000001</v>
      </c>
      <c r="T674" s="146">
        <f t="shared" si="157"/>
        <v>18854.891000000003</v>
      </c>
      <c r="U674" s="65">
        <v>7685.34</v>
      </c>
      <c r="V674" s="65"/>
      <c r="W674" s="21">
        <f t="shared" si="160"/>
        <v>7685.34</v>
      </c>
      <c r="X674" s="22">
        <f t="shared" si="129"/>
        <v>9455.4700000000012</v>
      </c>
      <c r="Y674" s="35">
        <f t="shared" si="130"/>
        <v>0.55163495774120364</v>
      </c>
      <c r="Z674" s="20"/>
      <c r="AA674" s="11"/>
      <c r="AB674" s="20"/>
      <c r="AC674" s="24" t="s">
        <v>69</v>
      </c>
      <c r="AD674" s="10">
        <v>43472</v>
      </c>
      <c r="AE674" s="10">
        <v>43488</v>
      </c>
      <c r="AF674" s="63">
        <f t="shared" si="162"/>
        <v>16</v>
      </c>
      <c r="AG674" s="10">
        <v>43739</v>
      </c>
      <c r="AH674" s="25">
        <f t="shared" si="153"/>
        <v>251</v>
      </c>
      <c r="AK674" s="27"/>
    </row>
    <row r="675" spans="1:37" s="26" customFormat="1" ht="15" customHeight="1" x14ac:dyDescent="0.45">
      <c r="A675" s="28" t="s">
        <v>41</v>
      </c>
      <c r="B675" s="8" t="s">
        <v>357</v>
      </c>
      <c r="C675" s="8" t="s">
        <v>57</v>
      </c>
      <c r="D675" s="9"/>
      <c r="E675" s="9"/>
      <c r="F675" s="10"/>
      <c r="G675" s="11">
        <v>43615</v>
      </c>
      <c r="H675" s="51"/>
      <c r="I675" s="52"/>
      <c r="J675" s="51"/>
      <c r="K675" s="51"/>
      <c r="L675" s="9"/>
      <c r="M675" s="10" t="str">
        <f t="shared" si="128"/>
        <v>May-19</v>
      </c>
      <c r="N675" s="10" t="str">
        <f t="shared" si="111"/>
        <v>Jan-00</v>
      </c>
      <c r="O675" s="17" t="s">
        <v>1430</v>
      </c>
      <c r="P675" s="17" t="s">
        <v>1024</v>
      </c>
      <c r="Q675" s="45">
        <v>2918.46</v>
      </c>
      <c r="R675" s="45"/>
      <c r="S675" s="45">
        <f t="shared" si="161"/>
        <v>2918.46</v>
      </c>
      <c r="T675" s="146">
        <f t="shared" si="157"/>
        <v>3210.3060000000005</v>
      </c>
      <c r="U675" s="65"/>
      <c r="V675" s="65"/>
      <c r="W675" s="21">
        <f t="shared" si="160"/>
        <v>0</v>
      </c>
      <c r="X675" s="22">
        <f t="shared" si="129"/>
        <v>2918.46</v>
      </c>
      <c r="Y675" s="35">
        <f t="shared" si="130"/>
        <v>1</v>
      </c>
      <c r="Z675" s="20"/>
      <c r="AA675" s="11"/>
      <c r="AB675" s="20"/>
      <c r="AC675" s="24" t="s">
        <v>73</v>
      </c>
      <c r="AD675" s="10" t="s">
        <v>47</v>
      </c>
      <c r="AE675" s="10">
        <v>43525</v>
      </c>
      <c r="AF675" s="63"/>
      <c r="AG675" s="10">
        <v>43595</v>
      </c>
      <c r="AH675" s="25">
        <f t="shared" si="153"/>
        <v>70</v>
      </c>
      <c r="AK675" s="27"/>
    </row>
    <row r="676" spans="1:37" s="26" customFormat="1" ht="15" customHeight="1" x14ac:dyDescent="0.45">
      <c r="A676" s="28" t="s">
        <v>41</v>
      </c>
      <c r="B676" s="8" t="s">
        <v>42</v>
      </c>
      <c r="C676" s="28" t="s">
        <v>43</v>
      </c>
      <c r="D676" s="9"/>
      <c r="E676" s="9"/>
      <c r="F676" s="10"/>
      <c r="G676" s="11">
        <v>43615</v>
      </c>
      <c r="H676" s="51"/>
      <c r="I676" s="52"/>
      <c r="J676" s="51"/>
      <c r="K676" s="51"/>
      <c r="L676" s="9"/>
      <c r="M676" s="10" t="str">
        <f t="shared" si="128"/>
        <v>May-19</v>
      </c>
      <c r="N676" s="10" t="str">
        <f t="shared" si="111"/>
        <v>Jan-00</v>
      </c>
      <c r="O676" s="17" t="s">
        <v>1431</v>
      </c>
      <c r="P676" s="17" t="s">
        <v>302</v>
      </c>
      <c r="Q676" s="45">
        <v>1655.36</v>
      </c>
      <c r="R676" s="45"/>
      <c r="S676" s="45">
        <f t="shared" si="161"/>
        <v>1655.36</v>
      </c>
      <c r="T676" s="146">
        <f t="shared" si="157"/>
        <v>1820.896</v>
      </c>
      <c r="U676" s="65"/>
      <c r="V676" s="65"/>
      <c r="W676" s="21">
        <f t="shared" ref="W676" si="163">SUM(U676:V676)</f>
        <v>0</v>
      </c>
      <c r="X676" s="22">
        <f t="shared" si="129"/>
        <v>1655.36</v>
      </c>
      <c r="Y676" s="35">
        <f t="shared" si="130"/>
        <v>1</v>
      </c>
      <c r="Z676" s="20"/>
      <c r="AA676" s="11"/>
      <c r="AB676" s="20"/>
      <c r="AC676" s="24" t="s">
        <v>73</v>
      </c>
      <c r="AD676" s="10" t="s">
        <v>47</v>
      </c>
      <c r="AE676" s="10">
        <v>43525</v>
      </c>
      <c r="AF676" s="63"/>
      <c r="AG676" s="10">
        <v>43595</v>
      </c>
      <c r="AH676" s="25">
        <f t="shared" si="153"/>
        <v>70</v>
      </c>
      <c r="AK676" s="27"/>
    </row>
    <row r="677" spans="1:37" s="26" customFormat="1" ht="15" customHeight="1" x14ac:dyDescent="0.45">
      <c r="A677" s="28" t="s">
        <v>41</v>
      </c>
      <c r="B677" s="8" t="s">
        <v>739</v>
      </c>
      <c r="C677" s="28" t="s">
        <v>43</v>
      </c>
      <c r="D677" s="9"/>
      <c r="E677" s="9"/>
      <c r="F677" s="10"/>
      <c r="G677" s="11">
        <v>43646</v>
      </c>
      <c r="H677" s="51"/>
      <c r="I677" s="52"/>
      <c r="J677" s="51"/>
      <c r="K677" s="51"/>
      <c r="L677" s="9"/>
      <c r="M677" s="10" t="str">
        <f t="shared" si="128"/>
        <v>Jun-19</v>
      </c>
      <c r="N677" s="10" t="str">
        <f t="shared" si="111"/>
        <v>Jan-00</v>
      </c>
      <c r="O677" s="17" t="s">
        <v>1432</v>
      </c>
      <c r="P677" s="17" t="s">
        <v>269</v>
      </c>
      <c r="Q677" s="45">
        <v>453.66</v>
      </c>
      <c r="R677" s="45"/>
      <c r="S677" s="45">
        <f t="shared" si="161"/>
        <v>453.66</v>
      </c>
      <c r="T677" s="146">
        <f t="shared" si="157"/>
        <v>499.02600000000007</v>
      </c>
      <c r="U677" s="65"/>
      <c r="V677" s="65"/>
      <c r="W677" s="21">
        <f t="shared" ref="W677" si="164">SUM(U677:V677)</f>
        <v>0</v>
      </c>
      <c r="X677" s="22">
        <f t="shared" si="129"/>
        <v>453.66</v>
      </c>
      <c r="Y677" s="35">
        <f t="shared" si="130"/>
        <v>1</v>
      </c>
      <c r="Z677" s="20"/>
      <c r="AA677" s="11"/>
      <c r="AB677" s="20"/>
      <c r="AC677" s="24" t="s">
        <v>73</v>
      </c>
      <c r="AD677" s="10" t="s">
        <v>47</v>
      </c>
      <c r="AE677" s="10">
        <v>43525</v>
      </c>
      <c r="AF677" s="63"/>
      <c r="AG677" s="10">
        <v>43617</v>
      </c>
      <c r="AH677" s="25">
        <f t="shared" si="153"/>
        <v>92</v>
      </c>
      <c r="AK677" s="27"/>
    </row>
    <row r="678" spans="1:37" s="26" customFormat="1" ht="15" customHeight="1" x14ac:dyDescent="0.45">
      <c r="A678" s="28" t="s">
        <v>1336</v>
      </c>
      <c r="B678" s="8" t="s">
        <v>42</v>
      </c>
      <c r="C678" s="28" t="s">
        <v>43</v>
      </c>
      <c r="D678" s="9"/>
      <c r="E678" s="9"/>
      <c r="F678" s="10"/>
      <c r="G678" s="11">
        <v>43646</v>
      </c>
      <c r="H678" s="51"/>
      <c r="I678" s="52"/>
      <c r="J678" s="51"/>
      <c r="K678" s="51"/>
      <c r="L678" s="9"/>
      <c r="M678" s="10" t="str">
        <f t="shared" si="128"/>
        <v>Jun-19</v>
      </c>
      <c r="N678" s="10" t="str">
        <f t="shared" si="111"/>
        <v>Jan-00</v>
      </c>
      <c r="O678" s="17" t="s">
        <v>1433</v>
      </c>
      <c r="P678" s="17" t="s">
        <v>223</v>
      </c>
      <c r="Q678" s="45">
        <v>2661.23</v>
      </c>
      <c r="R678" s="45"/>
      <c r="S678" s="45">
        <f t="shared" si="161"/>
        <v>2661.23</v>
      </c>
      <c r="T678" s="146">
        <f t="shared" si="157"/>
        <v>2927.3530000000001</v>
      </c>
      <c r="U678" s="65"/>
      <c r="V678" s="65"/>
      <c r="W678" s="21">
        <f t="shared" ref="W678" si="165">SUM(U678:V678)</f>
        <v>0</v>
      </c>
      <c r="X678" s="22">
        <f t="shared" si="129"/>
        <v>2661.23</v>
      </c>
      <c r="Y678" s="35">
        <f t="shared" si="130"/>
        <v>1</v>
      </c>
      <c r="Z678" s="20"/>
      <c r="AA678" s="11"/>
      <c r="AB678" s="20"/>
      <c r="AC678" s="24" t="s">
        <v>73</v>
      </c>
      <c r="AD678" s="10" t="s">
        <v>47</v>
      </c>
      <c r="AE678" s="10">
        <v>43525</v>
      </c>
      <c r="AF678" s="63"/>
      <c r="AG678" s="10">
        <v>43617</v>
      </c>
      <c r="AH678" s="25">
        <f t="shared" si="153"/>
        <v>92</v>
      </c>
      <c r="AK678" s="27"/>
    </row>
    <row r="679" spans="1:37" s="26" customFormat="1" ht="15" customHeight="1" x14ac:dyDescent="0.45">
      <c r="A679" s="156" t="s">
        <v>34</v>
      </c>
      <c r="B679" s="156" t="s">
        <v>297</v>
      </c>
      <c r="C679" s="157" t="s">
        <v>43</v>
      </c>
      <c r="D679" s="9"/>
      <c r="E679" s="9"/>
      <c r="F679" s="10"/>
      <c r="G679" s="11">
        <v>43615</v>
      </c>
      <c r="H679" s="51"/>
      <c r="I679" s="52"/>
      <c r="J679" s="51"/>
      <c r="K679" s="51"/>
      <c r="L679" s="9"/>
      <c r="M679" s="10" t="str">
        <f t="shared" si="128"/>
        <v>May-19</v>
      </c>
      <c r="N679" s="10" t="str">
        <f t="shared" si="111"/>
        <v>Jan-00</v>
      </c>
      <c r="O679" s="17" t="s">
        <v>1434</v>
      </c>
      <c r="P679" s="17" t="s">
        <v>1435</v>
      </c>
      <c r="Q679" s="45">
        <v>5886.29</v>
      </c>
      <c r="R679" s="45"/>
      <c r="S679" s="45">
        <f t="shared" si="161"/>
        <v>5886.29</v>
      </c>
      <c r="T679" s="146">
        <f t="shared" si="157"/>
        <v>6474.9190000000008</v>
      </c>
      <c r="U679" s="65"/>
      <c r="V679" s="65"/>
      <c r="W679" s="21">
        <f t="shared" ref="W679:W680" si="166">SUM(U679:V679)</f>
        <v>0</v>
      </c>
      <c r="X679" s="22">
        <f t="shared" si="129"/>
        <v>5886.29</v>
      </c>
      <c r="Y679" s="35">
        <f t="shared" si="130"/>
        <v>1</v>
      </c>
      <c r="Z679" s="20"/>
      <c r="AA679" s="11"/>
      <c r="AB679" s="20"/>
      <c r="AC679" s="24" t="s">
        <v>69</v>
      </c>
      <c r="AD679" s="10">
        <v>43489</v>
      </c>
      <c r="AE679" s="10">
        <v>43531</v>
      </c>
      <c r="AF679" s="63">
        <f t="shared" ref="AF679" si="167">AE679-AD679</f>
        <v>42</v>
      </c>
      <c r="AG679" s="10">
        <v>43731</v>
      </c>
      <c r="AH679" s="25">
        <f t="shared" si="153"/>
        <v>200</v>
      </c>
      <c r="AK679" s="27"/>
    </row>
    <row r="680" spans="1:37" s="26" customFormat="1" ht="15" customHeight="1" x14ac:dyDescent="0.45">
      <c r="A680" s="28" t="s">
        <v>41</v>
      </c>
      <c r="B680" s="8" t="s">
        <v>42</v>
      </c>
      <c r="C680" s="28" t="s">
        <v>43</v>
      </c>
      <c r="D680" s="9"/>
      <c r="E680" s="9"/>
      <c r="F680" s="10"/>
      <c r="G680" s="11">
        <v>43615</v>
      </c>
      <c r="H680" s="51"/>
      <c r="I680" s="52"/>
      <c r="J680" s="51"/>
      <c r="K680" s="51"/>
      <c r="L680" s="9"/>
      <c r="M680" s="10" t="str">
        <f t="shared" si="128"/>
        <v>May-19</v>
      </c>
      <c r="N680" s="10" t="str">
        <f t="shared" si="111"/>
        <v>Jan-00</v>
      </c>
      <c r="O680" s="17" t="s">
        <v>1436</v>
      </c>
      <c r="P680" s="17" t="s">
        <v>1437</v>
      </c>
      <c r="Q680" s="45">
        <v>9565.27</v>
      </c>
      <c r="R680" s="45"/>
      <c r="S680" s="45">
        <f t="shared" ref="S680:S682" si="168">SUM(Q680:R680)</f>
        <v>9565.27</v>
      </c>
      <c r="T680" s="146">
        <f t="shared" si="157"/>
        <v>10521.797</v>
      </c>
      <c r="U680" s="65"/>
      <c r="V680" s="65"/>
      <c r="W680" s="21">
        <f t="shared" si="166"/>
        <v>0</v>
      </c>
      <c r="X680" s="22">
        <f t="shared" si="129"/>
        <v>9565.27</v>
      </c>
      <c r="Y680" s="35">
        <f t="shared" si="130"/>
        <v>1</v>
      </c>
      <c r="Z680" s="20"/>
      <c r="AA680" s="11"/>
      <c r="AB680" s="20"/>
      <c r="AC680" s="124" t="s">
        <v>69</v>
      </c>
      <c r="AD680" s="10"/>
      <c r="AE680" s="10"/>
      <c r="AF680" s="63"/>
      <c r="AG680" s="10"/>
      <c r="AH680" s="25">
        <f t="shared" si="153"/>
        <v>0</v>
      </c>
      <c r="AK680" s="27"/>
    </row>
    <row r="681" spans="1:37" s="26" customFormat="1" ht="15" customHeight="1" x14ac:dyDescent="0.45">
      <c r="A681" s="28" t="s">
        <v>41</v>
      </c>
      <c r="B681" s="8" t="s">
        <v>297</v>
      </c>
      <c r="C681" s="8" t="s">
        <v>43</v>
      </c>
      <c r="D681" s="9"/>
      <c r="E681" s="9"/>
      <c r="F681" s="10"/>
      <c r="G681" s="11">
        <v>43554</v>
      </c>
      <c r="H681" s="51"/>
      <c r="I681" s="52"/>
      <c r="J681" s="51"/>
      <c r="K681" s="51"/>
      <c r="L681" s="9"/>
      <c r="M681" s="10" t="str">
        <f t="shared" si="128"/>
        <v>Mar-19</v>
      </c>
      <c r="N681" s="10" t="str">
        <f t="shared" si="111"/>
        <v>Jan-00</v>
      </c>
      <c r="O681" s="17" t="s">
        <v>1253</v>
      </c>
      <c r="P681" s="17" t="s">
        <v>960</v>
      </c>
      <c r="Q681" s="45">
        <v>1098.3399999999999</v>
      </c>
      <c r="R681" s="45"/>
      <c r="S681" s="45">
        <f t="shared" si="168"/>
        <v>1098.3399999999999</v>
      </c>
      <c r="T681" s="146">
        <f t="shared" si="157"/>
        <v>1208.174</v>
      </c>
      <c r="U681" s="65">
        <v>632.75</v>
      </c>
      <c r="V681" s="65"/>
      <c r="W681" s="21">
        <f t="shared" ref="W681:W682" si="169">SUM(U681:V681)</f>
        <v>632.75</v>
      </c>
      <c r="X681" s="22">
        <f t="shared" si="129"/>
        <v>465.58999999999992</v>
      </c>
      <c r="Y681" s="35">
        <f t="shared" si="130"/>
        <v>0.42390334504798144</v>
      </c>
      <c r="Z681" s="20"/>
      <c r="AA681" s="11"/>
      <c r="AB681" s="20"/>
      <c r="AC681" s="24" t="s">
        <v>73</v>
      </c>
      <c r="AD681" s="10" t="s">
        <v>47</v>
      </c>
      <c r="AE681" s="10">
        <v>43446</v>
      </c>
      <c r="AF681" s="63"/>
      <c r="AG681" s="10">
        <v>43523</v>
      </c>
      <c r="AH681" s="25">
        <f t="shared" si="153"/>
        <v>77</v>
      </c>
      <c r="AK681" s="27"/>
    </row>
    <row r="682" spans="1:37" s="26" customFormat="1" ht="15" customHeight="1" x14ac:dyDescent="0.45">
      <c r="A682" s="28" t="s">
        <v>41</v>
      </c>
      <c r="B682" s="8" t="s">
        <v>56</v>
      </c>
      <c r="C682" s="8" t="s">
        <v>57</v>
      </c>
      <c r="D682" s="9"/>
      <c r="E682" s="9"/>
      <c r="F682" s="10"/>
      <c r="G682" s="11">
        <v>43615</v>
      </c>
      <c r="H682" s="51"/>
      <c r="I682" s="52"/>
      <c r="J682" s="51"/>
      <c r="K682" s="51"/>
      <c r="L682" s="9"/>
      <c r="M682" s="10" t="str">
        <f t="shared" si="128"/>
        <v>May-19</v>
      </c>
      <c r="N682" s="10" t="str">
        <f t="shared" si="111"/>
        <v>Jan-00</v>
      </c>
      <c r="O682" s="17" t="s">
        <v>1438</v>
      </c>
      <c r="P682" s="17" t="s">
        <v>1439</v>
      </c>
      <c r="Q682" s="45">
        <v>12234.39</v>
      </c>
      <c r="R682" s="45"/>
      <c r="S682" s="45">
        <f t="shared" si="168"/>
        <v>12234.39</v>
      </c>
      <c r="T682" s="146">
        <f t="shared" si="157"/>
        <v>13457.829</v>
      </c>
      <c r="U682" s="65"/>
      <c r="V682" s="65"/>
      <c r="W682" s="21">
        <f t="shared" si="169"/>
        <v>0</v>
      </c>
      <c r="X682" s="22">
        <f t="shared" si="129"/>
        <v>12234.39</v>
      </c>
      <c r="Y682" s="35">
        <f t="shared" si="130"/>
        <v>1</v>
      </c>
      <c r="Z682" s="20"/>
      <c r="AA682" s="11"/>
      <c r="AB682" s="20"/>
      <c r="AC682" s="61" t="s">
        <v>69</v>
      </c>
      <c r="AD682" s="10">
        <v>43529</v>
      </c>
      <c r="AE682" s="10">
        <v>43536</v>
      </c>
      <c r="AF682" s="63">
        <f t="shared" ref="AF682" si="170">AE682-AD682</f>
        <v>7</v>
      </c>
      <c r="AG682" s="10">
        <v>43577</v>
      </c>
      <c r="AH682" s="25">
        <f t="shared" si="153"/>
        <v>41</v>
      </c>
      <c r="AK682" s="27"/>
    </row>
    <row r="683" spans="1:37" s="26" customFormat="1" ht="15" customHeight="1" x14ac:dyDescent="0.45">
      <c r="A683" s="28" t="s">
        <v>41</v>
      </c>
      <c r="B683" s="8" t="s">
        <v>42</v>
      </c>
      <c r="C683" s="28" t="s">
        <v>43</v>
      </c>
      <c r="D683" s="9"/>
      <c r="E683" s="9"/>
      <c r="F683" s="10"/>
      <c r="G683" s="11">
        <v>43646</v>
      </c>
      <c r="H683" s="51"/>
      <c r="I683" s="52"/>
      <c r="J683" s="51"/>
      <c r="K683" s="51"/>
      <c r="L683" s="9"/>
      <c r="M683" s="10" t="str">
        <f t="shared" si="128"/>
        <v>Jun-19</v>
      </c>
      <c r="N683" s="10" t="str">
        <f t="shared" ref="N683:N694" si="171">TEXT(K683,"mmm-yy")</f>
        <v>Jan-00</v>
      </c>
      <c r="O683" s="17" t="s">
        <v>1440</v>
      </c>
      <c r="P683" s="17" t="s">
        <v>76</v>
      </c>
      <c r="Q683" s="45">
        <v>1374.96</v>
      </c>
      <c r="R683" s="45"/>
      <c r="S683" s="45">
        <f t="shared" ref="S683:S684" si="172">SUM(Q683:R683)</f>
        <v>1374.96</v>
      </c>
      <c r="T683" s="146">
        <f t="shared" si="157"/>
        <v>1512.4560000000001</v>
      </c>
      <c r="U683" s="65"/>
      <c r="V683" s="65"/>
      <c r="W683" s="21">
        <f t="shared" ref="W683" si="173">SUM(U683:V683)</f>
        <v>0</v>
      </c>
      <c r="X683" s="22">
        <f t="shared" si="129"/>
        <v>1374.96</v>
      </c>
      <c r="Y683" s="35">
        <f t="shared" si="130"/>
        <v>1</v>
      </c>
      <c r="Z683" s="20"/>
      <c r="AA683" s="11"/>
      <c r="AB683" s="20"/>
      <c r="AC683" s="24" t="s">
        <v>73</v>
      </c>
      <c r="AD683" s="10" t="s">
        <v>47</v>
      </c>
      <c r="AE683" s="10">
        <v>43446</v>
      </c>
      <c r="AF683" s="63"/>
      <c r="AG683" s="10">
        <v>43617</v>
      </c>
      <c r="AH683" s="25">
        <f t="shared" si="153"/>
        <v>171</v>
      </c>
      <c r="AK683" s="27"/>
    </row>
    <row r="684" spans="1:37" s="26" customFormat="1" ht="15" customHeight="1" x14ac:dyDescent="0.45">
      <c r="A684" s="152" t="s">
        <v>1441</v>
      </c>
      <c r="B684" s="8" t="s">
        <v>512</v>
      </c>
      <c r="C684" s="8" t="s">
        <v>36</v>
      </c>
      <c r="D684" s="9" t="s">
        <v>1442</v>
      </c>
      <c r="E684" s="9">
        <v>43530</v>
      </c>
      <c r="F684" s="10">
        <v>43530</v>
      </c>
      <c r="G684" s="11">
        <v>43530</v>
      </c>
      <c r="H684" s="67"/>
      <c r="I684" s="68"/>
      <c r="J684" s="67"/>
      <c r="K684" s="51">
        <v>43531</v>
      </c>
      <c r="L684" s="9"/>
      <c r="M684" s="10" t="str">
        <f t="shared" si="128"/>
        <v>Mar-19</v>
      </c>
      <c r="N684" s="10" t="str">
        <f t="shared" si="171"/>
        <v>Mar-19</v>
      </c>
      <c r="O684" s="153" t="s">
        <v>1371</v>
      </c>
      <c r="P684" s="153" t="s">
        <v>1372</v>
      </c>
      <c r="Q684" s="45">
        <v>5043.55</v>
      </c>
      <c r="R684" s="73"/>
      <c r="S684" s="45">
        <f t="shared" si="172"/>
        <v>5043.55</v>
      </c>
      <c r="T684" s="146">
        <f t="shared" si="157"/>
        <v>5547.9050000000007</v>
      </c>
      <c r="U684" s="65"/>
      <c r="V684" s="65"/>
      <c r="W684" s="21">
        <f t="shared" ref="W684" si="174">SUM(U684:V684)</f>
        <v>0</v>
      </c>
      <c r="X684" s="22">
        <f t="shared" si="129"/>
        <v>5043.55</v>
      </c>
      <c r="Y684" s="35">
        <f t="shared" si="130"/>
        <v>1</v>
      </c>
      <c r="Z684" s="20"/>
      <c r="AA684" s="11"/>
      <c r="AB684" s="20"/>
      <c r="AC684" s="24" t="s">
        <v>73</v>
      </c>
      <c r="AD684" s="10" t="s">
        <v>47</v>
      </c>
      <c r="AE684" s="155"/>
      <c r="AF684" s="158"/>
      <c r="AG684" s="155"/>
      <c r="AH684" s="159"/>
      <c r="AK684" s="27"/>
    </row>
    <row r="685" spans="1:37" s="26" customFormat="1" ht="15" customHeight="1" x14ac:dyDescent="0.45">
      <c r="A685" s="8" t="s">
        <v>34</v>
      </c>
      <c r="B685" s="8" t="s">
        <v>297</v>
      </c>
      <c r="C685" s="28" t="s">
        <v>36</v>
      </c>
      <c r="D685" s="9"/>
      <c r="E685" s="9"/>
      <c r="F685" s="10"/>
      <c r="G685" s="11">
        <v>43585</v>
      </c>
      <c r="H685" s="51"/>
      <c r="I685" s="52"/>
      <c r="J685" s="51"/>
      <c r="K685" s="51"/>
      <c r="L685" s="9"/>
      <c r="M685" s="10" t="str">
        <f t="shared" si="128"/>
        <v>Apr-19</v>
      </c>
      <c r="N685" s="10" t="str">
        <f t="shared" si="171"/>
        <v>Jan-00</v>
      </c>
      <c r="O685" s="17" t="s">
        <v>1443</v>
      </c>
      <c r="P685" s="17" t="s">
        <v>1444</v>
      </c>
      <c r="Q685" s="45">
        <v>4049.06</v>
      </c>
      <c r="R685" s="45"/>
      <c r="S685" s="45">
        <f t="shared" ref="S685" si="175">SUM(Q685:R685)</f>
        <v>4049.06</v>
      </c>
      <c r="T685" s="146">
        <f t="shared" si="157"/>
        <v>4453.9660000000003</v>
      </c>
      <c r="U685" s="65"/>
      <c r="V685" s="65"/>
      <c r="W685" s="21">
        <f t="shared" ref="W685:W693" si="176">SUM(U685:V685)</f>
        <v>0</v>
      </c>
      <c r="X685" s="22">
        <f t="shared" si="129"/>
        <v>4049.06</v>
      </c>
      <c r="Y685" s="35">
        <f t="shared" si="130"/>
        <v>1</v>
      </c>
      <c r="Z685" s="20"/>
      <c r="AA685" s="11"/>
      <c r="AB685" s="20"/>
      <c r="AC685" s="24" t="s">
        <v>1340</v>
      </c>
      <c r="AD685" s="10">
        <v>43509</v>
      </c>
      <c r="AE685" s="10">
        <v>43537</v>
      </c>
      <c r="AF685" s="63">
        <f t="shared" ref="AF685" si="177">AE685-AD685</f>
        <v>28</v>
      </c>
      <c r="AG685" s="10">
        <v>43556</v>
      </c>
      <c r="AH685" s="25">
        <f t="shared" si="153"/>
        <v>19</v>
      </c>
      <c r="AK685" s="27"/>
    </row>
    <row r="686" spans="1:37" s="26" customFormat="1" ht="15" customHeight="1" x14ac:dyDescent="0.45">
      <c r="A686" s="8" t="s">
        <v>34</v>
      </c>
      <c r="B686" s="8" t="s">
        <v>129</v>
      </c>
      <c r="C686" s="8" t="s">
        <v>57</v>
      </c>
      <c r="D686" s="9"/>
      <c r="E686" s="9"/>
      <c r="F686" s="10"/>
      <c r="G686" s="11">
        <v>43585</v>
      </c>
      <c r="H686" s="51"/>
      <c r="I686" s="52"/>
      <c r="J686" s="51"/>
      <c r="K686" s="51"/>
      <c r="L686" s="9"/>
      <c r="M686" s="10" t="str">
        <f t="shared" si="128"/>
        <v>Apr-19</v>
      </c>
      <c r="N686" s="10" t="str">
        <f t="shared" si="171"/>
        <v>Jan-00</v>
      </c>
      <c r="O686" s="17" t="s">
        <v>1445</v>
      </c>
      <c r="P686" s="17" t="s">
        <v>453</v>
      </c>
      <c r="Q686" s="45">
        <v>11164.4</v>
      </c>
      <c r="R686" s="45"/>
      <c r="S686" s="45">
        <f t="shared" ref="S686" si="178">SUM(Q686:R686)</f>
        <v>11164.4</v>
      </c>
      <c r="T686" s="146">
        <f t="shared" si="157"/>
        <v>12280.84</v>
      </c>
      <c r="U686" s="65"/>
      <c r="V686" s="65"/>
      <c r="W686" s="21">
        <f t="shared" si="176"/>
        <v>0</v>
      </c>
      <c r="X686" s="22">
        <f t="shared" si="129"/>
        <v>11164.4</v>
      </c>
      <c r="Y686" s="35">
        <f t="shared" si="130"/>
        <v>1</v>
      </c>
      <c r="Z686" s="20"/>
      <c r="AA686" s="11"/>
      <c r="AB686" s="20"/>
      <c r="AC686" s="24" t="s">
        <v>1340</v>
      </c>
      <c r="AD686" s="155"/>
      <c r="AE686" s="10">
        <v>43497</v>
      </c>
      <c r="AF686" s="63"/>
      <c r="AG686" s="155"/>
      <c r="AH686" s="159"/>
      <c r="AK686" s="27"/>
    </row>
    <row r="687" spans="1:37" s="26" customFormat="1" ht="15" customHeight="1" x14ac:dyDescent="0.45">
      <c r="A687" s="152" t="s">
        <v>1368</v>
      </c>
      <c r="B687" s="8"/>
      <c r="C687" s="8" t="s">
        <v>36</v>
      </c>
      <c r="D687" s="9"/>
      <c r="E687" s="9"/>
      <c r="F687" s="10"/>
      <c r="G687" s="11">
        <v>43615</v>
      </c>
      <c r="H687" s="51"/>
      <c r="I687" s="52"/>
      <c r="J687" s="51"/>
      <c r="K687" s="51"/>
      <c r="L687" s="9"/>
      <c r="M687" s="10" t="str">
        <f t="shared" si="128"/>
        <v>May-19</v>
      </c>
      <c r="N687" s="10" t="str">
        <f t="shared" si="171"/>
        <v>Jan-00</v>
      </c>
      <c r="O687" s="153" t="s">
        <v>1446</v>
      </c>
      <c r="P687" s="153" t="s">
        <v>1447</v>
      </c>
      <c r="Q687" s="45">
        <v>2642.39</v>
      </c>
      <c r="R687" s="45"/>
      <c r="S687" s="45">
        <f t="shared" ref="S687:S693" si="179">SUM(Q687:R687)</f>
        <v>2642.39</v>
      </c>
      <c r="T687" s="146"/>
      <c r="U687" s="65"/>
      <c r="V687" s="65"/>
      <c r="W687" s="21">
        <f t="shared" si="176"/>
        <v>0</v>
      </c>
      <c r="X687" s="22">
        <f t="shared" si="129"/>
        <v>2642.39</v>
      </c>
      <c r="Y687" s="35">
        <f t="shared" si="130"/>
        <v>1</v>
      </c>
      <c r="Z687" s="20"/>
      <c r="AA687" s="11"/>
      <c r="AB687" s="20"/>
      <c r="AC687" s="24"/>
      <c r="AD687" s="10"/>
      <c r="AE687" s="10"/>
      <c r="AF687" s="63"/>
      <c r="AG687" s="10"/>
      <c r="AH687" s="25"/>
      <c r="AK687" s="27"/>
    </row>
    <row r="688" spans="1:37" s="26" customFormat="1" ht="15" customHeight="1" x14ac:dyDescent="0.45">
      <c r="A688" s="152" t="s">
        <v>1368</v>
      </c>
      <c r="B688" s="8"/>
      <c r="C688" s="8" t="s">
        <v>57</v>
      </c>
      <c r="D688" s="9"/>
      <c r="E688" s="9"/>
      <c r="F688" s="10"/>
      <c r="G688" s="11">
        <v>43615</v>
      </c>
      <c r="H688" s="51"/>
      <c r="I688" s="52"/>
      <c r="J688" s="51"/>
      <c r="K688" s="51"/>
      <c r="L688" s="9"/>
      <c r="M688" s="10" t="str">
        <f t="shared" si="128"/>
        <v>May-19</v>
      </c>
      <c r="N688" s="10" t="str">
        <f t="shared" si="171"/>
        <v>Jan-00</v>
      </c>
      <c r="O688" s="153" t="s">
        <v>1448</v>
      </c>
      <c r="P688" s="153" t="s">
        <v>1449</v>
      </c>
      <c r="Q688" s="45">
        <v>10171</v>
      </c>
      <c r="R688" s="45"/>
      <c r="S688" s="45">
        <f t="shared" si="179"/>
        <v>10171</v>
      </c>
      <c r="T688" s="146"/>
      <c r="U688" s="65"/>
      <c r="V688" s="65"/>
      <c r="W688" s="21">
        <f t="shared" si="176"/>
        <v>0</v>
      </c>
      <c r="X688" s="22">
        <f t="shared" si="129"/>
        <v>10171</v>
      </c>
      <c r="Y688" s="35">
        <f t="shared" si="130"/>
        <v>1</v>
      </c>
      <c r="Z688" s="20"/>
      <c r="AA688" s="11"/>
      <c r="AB688" s="20"/>
      <c r="AC688" s="24"/>
      <c r="AD688" s="10"/>
      <c r="AE688" s="10"/>
      <c r="AF688" s="63"/>
      <c r="AG688" s="10"/>
      <c r="AH688" s="25"/>
      <c r="AK688" s="27"/>
    </row>
    <row r="689" spans="1:37" s="26" customFormat="1" ht="15" customHeight="1" x14ac:dyDescent="0.45">
      <c r="A689" s="152" t="s">
        <v>1368</v>
      </c>
      <c r="B689" s="8"/>
      <c r="C689" s="8" t="s">
        <v>36</v>
      </c>
      <c r="D689" s="9"/>
      <c r="E689" s="9"/>
      <c r="F689" s="10"/>
      <c r="G689" s="11">
        <v>43615</v>
      </c>
      <c r="H689" s="51"/>
      <c r="I689" s="52"/>
      <c r="J689" s="51"/>
      <c r="K689" s="51"/>
      <c r="L689" s="9"/>
      <c r="M689" s="10" t="str">
        <f t="shared" si="128"/>
        <v>May-19</v>
      </c>
      <c r="N689" s="10" t="str">
        <f t="shared" si="171"/>
        <v>Jan-00</v>
      </c>
      <c r="O689" s="153" t="s">
        <v>1450</v>
      </c>
      <c r="P689" s="153" t="s">
        <v>1451</v>
      </c>
      <c r="Q689" s="45">
        <v>8931.74</v>
      </c>
      <c r="R689" s="45"/>
      <c r="S689" s="45">
        <f t="shared" si="179"/>
        <v>8931.74</v>
      </c>
      <c r="T689" s="146"/>
      <c r="U689" s="65"/>
      <c r="V689" s="65"/>
      <c r="W689" s="21">
        <f t="shared" si="176"/>
        <v>0</v>
      </c>
      <c r="X689" s="22">
        <f t="shared" si="129"/>
        <v>8931.74</v>
      </c>
      <c r="Y689" s="35">
        <f t="shared" si="130"/>
        <v>1</v>
      </c>
      <c r="Z689" s="20"/>
      <c r="AA689" s="11"/>
      <c r="AB689" s="20"/>
      <c r="AC689" s="24"/>
      <c r="AD689" s="10"/>
      <c r="AE689" s="10"/>
      <c r="AF689" s="63"/>
      <c r="AG689" s="10"/>
      <c r="AH689" s="25"/>
      <c r="AK689" s="27"/>
    </row>
    <row r="690" spans="1:37" s="26" customFormat="1" ht="15" customHeight="1" x14ac:dyDescent="0.45">
      <c r="A690" s="152" t="s">
        <v>1368</v>
      </c>
      <c r="B690" s="8"/>
      <c r="C690" s="8" t="s">
        <v>57</v>
      </c>
      <c r="D690" s="9"/>
      <c r="E690" s="9"/>
      <c r="F690" s="10"/>
      <c r="G690" s="11">
        <v>43615</v>
      </c>
      <c r="H690" s="51"/>
      <c r="I690" s="52"/>
      <c r="J690" s="51"/>
      <c r="K690" s="51"/>
      <c r="L690" s="9"/>
      <c r="M690" s="10" t="str">
        <f t="shared" si="128"/>
        <v>May-19</v>
      </c>
      <c r="N690" s="10" t="str">
        <f t="shared" si="171"/>
        <v>Jan-00</v>
      </c>
      <c r="O690" s="153" t="s">
        <v>1452</v>
      </c>
      <c r="P690" s="153" t="s">
        <v>1453</v>
      </c>
      <c r="Q690" s="45">
        <v>7156.36</v>
      </c>
      <c r="R690" s="45"/>
      <c r="S690" s="45">
        <f t="shared" si="179"/>
        <v>7156.36</v>
      </c>
      <c r="T690" s="146"/>
      <c r="U690" s="65"/>
      <c r="V690" s="65"/>
      <c r="W690" s="21">
        <f t="shared" si="176"/>
        <v>0</v>
      </c>
      <c r="X690" s="22">
        <f t="shared" si="129"/>
        <v>7156.36</v>
      </c>
      <c r="Y690" s="35">
        <f t="shared" si="130"/>
        <v>1</v>
      </c>
      <c r="Z690" s="20"/>
      <c r="AA690" s="11"/>
      <c r="AB690" s="20"/>
      <c r="AC690" s="24"/>
      <c r="AD690" s="10"/>
      <c r="AE690" s="10"/>
      <c r="AF690" s="63"/>
      <c r="AG690" s="10"/>
      <c r="AH690" s="25"/>
      <c r="AK690" s="27"/>
    </row>
    <row r="691" spans="1:37" s="26" customFormat="1" ht="15" customHeight="1" x14ac:dyDescent="0.45">
      <c r="A691" s="152" t="s">
        <v>1368</v>
      </c>
      <c r="B691" s="8"/>
      <c r="C691" s="8" t="s">
        <v>57</v>
      </c>
      <c r="D691" s="9"/>
      <c r="E691" s="9"/>
      <c r="F691" s="10"/>
      <c r="G691" s="11">
        <v>43615</v>
      </c>
      <c r="H691" s="51"/>
      <c r="I691" s="52"/>
      <c r="J691" s="51"/>
      <c r="K691" s="51"/>
      <c r="L691" s="9"/>
      <c r="M691" s="10" t="str">
        <f t="shared" si="128"/>
        <v>May-19</v>
      </c>
      <c r="N691" s="10" t="str">
        <f t="shared" si="171"/>
        <v>Jan-00</v>
      </c>
      <c r="O691" s="153" t="s">
        <v>1454</v>
      </c>
      <c r="P691" s="153" t="s">
        <v>1455</v>
      </c>
      <c r="Q691" s="45">
        <v>8769.0400000000009</v>
      </c>
      <c r="R691" s="45"/>
      <c r="S691" s="45">
        <f t="shared" si="179"/>
        <v>8769.0400000000009</v>
      </c>
      <c r="T691" s="146"/>
      <c r="U691" s="65"/>
      <c r="V691" s="65"/>
      <c r="W691" s="21">
        <f t="shared" si="176"/>
        <v>0</v>
      </c>
      <c r="X691" s="22">
        <f t="shared" si="129"/>
        <v>8769.0400000000009</v>
      </c>
      <c r="Y691" s="35">
        <f t="shared" si="130"/>
        <v>1</v>
      </c>
      <c r="Z691" s="20"/>
      <c r="AA691" s="11"/>
      <c r="AB691" s="20"/>
      <c r="AC691" s="24"/>
      <c r="AD691" s="10"/>
      <c r="AE691" s="10"/>
      <c r="AF691" s="63"/>
      <c r="AG691" s="10"/>
      <c r="AH691" s="25"/>
      <c r="AK691" s="27"/>
    </row>
    <row r="692" spans="1:37" s="26" customFormat="1" ht="15" customHeight="1" x14ac:dyDescent="0.45">
      <c r="A692" s="152" t="s">
        <v>1368</v>
      </c>
      <c r="B692" s="8"/>
      <c r="C692" s="8" t="s">
        <v>57</v>
      </c>
      <c r="D692" s="9"/>
      <c r="E692" s="9"/>
      <c r="F692" s="10"/>
      <c r="G692" s="11">
        <v>43615</v>
      </c>
      <c r="H692" s="51"/>
      <c r="I692" s="52"/>
      <c r="J692" s="51"/>
      <c r="K692" s="51"/>
      <c r="L692" s="9"/>
      <c r="M692" s="10" t="str">
        <f t="shared" si="128"/>
        <v>May-19</v>
      </c>
      <c r="N692" s="10" t="str">
        <f t="shared" si="171"/>
        <v>Jan-00</v>
      </c>
      <c r="O692" s="153" t="s">
        <v>1456</v>
      </c>
      <c r="P692" s="153" t="s">
        <v>1457</v>
      </c>
      <c r="Q692" s="45"/>
      <c r="R692" s="45"/>
      <c r="S692" s="45">
        <f t="shared" si="179"/>
        <v>0</v>
      </c>
      <c r="T692" s="146"/>
      <c r="U692" s="65"/>
      <c r="V692" s="65"/>
      <c r="W692" s="21">
        <f t="shared" si="176"/>
        <v>0</v>
      </c>
      <c r="X692" s="22">
        <f t="shared" si="129"/>
        <v>0</v>
      </c>
      <c r="Y692" s="35" t="e">
        <f t="shared" si="130"/>
        <v>#DIV/0!</v>
      </c>
      <c r="Z692" s="20"/>
      <c r="AA692" s="11"/>
      <c r="AB692" s="20"/>
      <c r="AC692" s="24"/>
      <c r="AD692" s="10"/>
      <c r="AE692" s="10"/>
      <c r="AF692" s="63"/>
      <c r="AG692" s="10"/>
      <c r="AH692" s="25"/>
      <c r="AK692" s="27"/>
    </row>
    <row r="693" spans="1:37" s="26" customFormat="1" ht="15" customHeight="1" x14ac:dyDescent="0.45">
      <c r="A693" s="152" t="s">
        <v>1458</v>
      </c>
      <c r="B693" s="8"/>
      <c r="C693" s="8" t="s">
        <v>36</v>
      </c>
      <c r="D693" s="9"/>
      <c r="E693" s="9"/>
      <c r="F693" s="10"/>
      <c r="G693" s="11">
        <v>43615</v>
      </c>
      <c r="H693" s="51"/>
      <c r="I693" s="52"/>
      <c r="J693" s="51"/>
      <c r="K693" s="51"/>
      <c r="L693" s="9"/>
      <c r="M693" s="10" t="str">
        <f t="shared" si="128"/>
        <v>May-19</v>
      </c>
      <c r="N693" s="10" t="str">
        <f t="shared" si="171"/>
        <v>Jan-00</v>
      </c>
      <c r="O693" s="113" t="s">
        <v>1459</v>
      </c>
      <c r="P693" s="113" t="s">
        <v>1460</v>
      </c>
      <c r="Q693" s="45">
        <v>2920.97</v>
      </c>
      <c r="R693" s="45"/>
      <c r="S693" s="45">
        <f t="shared" si="179"/>
        <v>2920.97</v>
      </c>
      <c r="T693" s="146"/>
      <c r="U693" s="65">
        <v>1500</v>
      </c>
      <c r="V693" s="65"/>
      <c r="W693" s="21">
        <f t="shared" si="176"/>
        <v>1500</v>
      </c>
      <c r="X693" s="22">
        <f t="shared" si="129"/>
        <v>1420.9699999999998</v>
      </c>
      <c r="Y693" s="35">
        <f t="shared" si="130"/>
        <v>0.48647195965723711</v>
      </c>
      <c r="Z693" s="20"/>
      <c r="AA693" s="11"/>
      <c r="AB693" s="20"/>
      <c r="AC693" s="24" t="s">
        <v>1340</v>
      </c>
      <c r="AD693" s="10" t="s">
        <v>47</v>
      </c>
      <c r="AE693" s="10">
        <v>43539</v>
      </c>
      <c r="AF693" s="63"/>
      <c r="AG693" s="155"/>
      <c r="AH693" s="159"/>
      <c r="AK693" s="27"/>
    </row>
    <row r="694" spans="1:37" s="26" customFormat="1" ht="15" customHeight="1" x14ac:dyDescent="0.45">
      <c r="A694" s="152" t="s">
        <v>1461</v>
      </c>
      <c r="B694" s="8"/>
      <c r="C694" s="8" t="s">
        <v>36</v>
      </c>
      <c r="D694" s="9"/>
      <c r="E694" s="9"/>
      <c r="F694" s="10"/>
      <c r="G694" s="11">
        <v>43615</v>
      </c>
      <c r="H694" s="51"/>
      <c r="I694" s="52"/>
      <c r="J694" s="51"/>
      <c r="K694" s="51"/>
      <c r="L694" s="9"/>
      <c r="M694" s="10" t="str">
        <f t="shared" si="128"/>
        <v>May-19</v>
      </c>
      <c r="N694" s="10" t="str">
        <f t="shared" si="171"/>
        <v>Jan-00</v>
      </c>
      <c r="O694" s="153" t="s">
        <v>1462</v>
      </c>
      <c r="P694" s="153" t="s">
        <v>484</v>
      </c>
      <c r="Q694" s="45"/>
      <c r="R694" s="45"/>
      <c r="S694" s="45"/>
      <c r="T694" s="146"/>
      <c r="U694" s="65"/>
      <c r="V694" s="65"/>
      <c r="W694" s="34"/>
      <c r="X694" s="160"/>
      <c r="Y694" s="161"/>
      <c r="Z694" s="20"/>
      <c r="AA694" s="11"/>
      <c r="AB694" s="20"/>
      <c r="AC694" s="24"/>
      <c r="AD694" s="10"/>
      <c r="AE694" s="10"/>
      <c r="AF694" s="63"/>
      <c r="AG694" s="10"/>
      <c r="AH694" s="25"/>
      <c r="AK694" s="27"/>
    </row>
    <row r="695" spans="1:37" s="26" customFormat="1" ht="15" customHeight="1" x14ac:dyDescent="0.45">
      <c r="A695" s="152"/>
      <c r="B695" s="8"/>
      <c r="C695" s="8"/>
      <c r="D695" s="9"/>
      <c r="E695" s="9"/>
      <c r="F695" s="10"/>
      <c r="G695" s="11"/>
      <c r="H695" s="51"/>
      <c r="I695" s="52"/>
      <c r="J695" s="51"/>
      <c r="K695" s="51"/>
      <c r="L695" s="9"/>
      <c r="M695" s="10"/>
      <c r="N695" s="10"/>
      <c r="O695" s="153"/>
      <c r="P695" s="153"/>
      <c r="Q695" s="45"/>
      <c r="R695" s="45"/>
      <c r="S695" s="45"/>
      <c r="T695" s="146"/>
      <c r="U695" s="65"/>
      <c r="V695" s="65"/>
      <c r="W695" s="34"/>
      <c r="X695" s="160"/>
      <c r="Y695" s="161"/>
      <c r="Z695" s="20"/>
      <c r="AA695" s="11"/>
      <c r="AB695" s="20"/>
      <c r="AC695" s="24"/>
      <c r="AD695" s="10"/>
      <c r="AE695" s="10"/>
      <c r="AF695" s="63"/>
      <c r="AG695" s="10"/>
      <c r="AH695" s="25"/>
      <c r="AK695" s="27"/>
    </row>
    <row r="696" spans="1:37" s="26" customFormat="1" ht="15" customHeight="1" x14ac:dyDescent="0.45">
      <c r="A696" s="152"/>
      <c r="B696" s="8"/>
      <c r="C696" s="8"/>
      <c r="D696" s="9"/>
      <c r="E696" s="9"/>
      <c r="F696" s="10"/>
      <c r="G696" s="11"/>
      <c r="H696" s="51"/>
      <c r="I696" s="52"/>
      <c r="J696" s="51"/>
      <c r="K696" s="51"/>
      <c r="L696" s="9"/>
      <c r="M696" s="10"/>
      <c r="N696" s="10"/>
      <c r="O696" s="153"/>
      <c r="P696" s="153"/>
      <c r="Q696" s="45"/>
      <c r="R696" s="45"/>
      <c r="S696" s="45"/>
      <c r="T696" s="146"/>
      <c r="U696" s="65"/>
      <c r="V696" s="65"/>
      <c r="W696" s="34"/>
      <c r="X696" s="160"/>
      <c r="Y696" s="161"/>
      <c r="Z696" s="20"/>
      <c r="AA696" s="11"/>
      <c r="AB696" s="20"/>
      <c r="AC696" s="24"/>
      <c r="AD696" s="10"/>
      <c r="AE696" s="10"/>
      <c r="AF696" s="63"/>
      <c r="AG696" s="10"/>
      <c r="AH696" s="25"/>
      <c r="AK696" s="27"/>
    </row>
    <row r="697" spans="1:37" s="26" customFormat="1" ht="15" customHeight="1" x14ac:dyDescent="0.45">
      <c r="A697" s="152"/>
      <c r="B697" s="8"/>
      <c r="C697" s="8"/>
      <c r="D697" s="9"/>
      <c r="E697" s="9"/>
      <c r="F697" s="10"/>
      <c r="G697" s="11"/>
      <c r="H697" s="51"/>
      <c r="I697" s="52"/>
      <c r="J697" s="51"/>
      <c r="K697" s="51"/>
      <c r="L697" s="9"/>
      <c r="M697" s="10"/>
      <c r="N697" s="10"/>
      <c r="O697" s="153"/>
      <c r="P697" s="153"/>
      <c r="Q697" s="45"/>
      <c r="R697" s="45"/>
      <c r="S697" s="45"/>
      <c r="T697" s="146"/>
      <c r="U697" s="65"/>
      <c r="V697" s="65"/>
      <c r="W697" s="34"/>
      <c r="X697" s="160"/>
      <c r="Y697" s="161"/>
      <c r="Z697" s="20"/>
      <c r="AA697" s="11"/>
      <c r="AB697" s="20"/>
      <c r="AC697" s="24"/>
      <c r="AD697" s="10"/>
      <c r="AE697" s="10"/>
      <c r="AF697" s="63"/>
      <c r="AG697" s="10"/>
      <c r="AH697" s="25"/>
      <c r="AK697" s="27"/>
    </row>
    <row r="698" spans="1:37" s="26" customFormat="1" ht="15" customHeight="1" x14ac:dyDescent="0.45">
      <c r="A698" s="152"/>
      <c r="B698" s="8"/>
      <c r="C698" s="8"/>
      <c r="D698" s="9"/>
      <c r="E698" s="9"/>
      <c r="F698" s="10"/>
      <c r="G698" s="11"/>
      <c r="H698" s="51"/>
      <c r="I698" s="52"/>
      <c r="J698" s="51"/>
      <c r="K698" s="51"/>
      <c r="L698" s="9"/>
      <c r="M698" s="10"/>
      <c r="N698" s="10"/>
      <c r="O698" s="153"/>
      <c r="P698" s="153"/>
      <c r="Q698" s="45"/>
      <c r="R698" s="45"/>
      <c r="S698" s="45"/>
      <c r="T698" s="146"/>
      <c r="U698" s="65"/>
      <c r="V698" s="65"/>
      <c r="W698" s="34"/>
      <c r="X698" s="160"/>
      <c r="Y698" s="161"/>
      <c r="Z698" s="20"/>
      <c r="AA698" s="11"/>
      <c r="AB698" s="20"/>
      <c r="AC698" s="24"/>
      <c r="AD698" s="10"/>
      <c r="AE698" s="10"/>
      <c r="AF698" s="63"/>
      <c r="AG698" s="10"/>
      <c r="AH698" s="25"/>
      <c r="AK698" s="27"/>
    </row>
    <row r="699" spans="1:37" s="26" customFormat="1" ht="15" customHeight="1" x14ac:dyDescent="0.45">
      <c r="A699" s="152"/>
      <c r="B699" s="8"/>
      <c r="C699" s="8"/>
      <c r="D699" s="9"/>
      <c r="E699" s="9"/>
      <c r="F699" s="10"/>
      <c r="G699" s="11"/>
      <c r="H699" s="51"/>
      <c r="I699" s="52"/>
      <c r="J699" s="51"/>
      <c r="K699" s="51"/>
      <c r="L699" s="9"/>
      <c r="M699" s="10"/>
      <c r="N699" s="10"/>
      <c r="O699" s="153"/>
      <c r="P699" s="153"/>
      <c r="Q699" s="45"/>
      <c r="R699" s="45"/>
      <c r="S699" s="45"/>
      <c r="T699" s="146"/>
      <c r="U699" s="65"/>
      <c r="V699" s="65"/>
      <c r="W699" s="34"/>
      <c r="X699" s="160"/>
      <c r="Y699" s="161"/>
      <c r="Z699" s="20"/>
      <c r="AA699" s="11"/>
      <c r="AB699" s="20"/>
      <c r="AC699" s="24"/>
      <c r="AD699" s="10"/>
      <c r="AE699" s="10"/>
      <c r="AF699" s="63"/>
      <c r="AG699" s="10"/>
      <c r="AH699" s="25"/>
      <c r="AK699" s="27"/>
    </row>
    <row r="700" spans="1:37" s="26" customFormat="1" ht="15" customHeight="1" x14ac:dyDescent="0.45">
      <c r="A700" s="152"/>
      <c r="B700" s="8"/>
      <c r="C700" s="8"/>
      <c r="D700" s="9"/>
      <c r="E700" s="9"/>
      <c r="F700" s="10"/>
      <c r="G700" s="11"/>
      <c r="H700" s="51"/>
      <c r="I700" s="52"/>
      <c r="J700" s="51"/>
      <c r="K700" s="51"/>
      <c r="L700" s="9"/>
      <c r="M700" s="10"/>
      <c r="N700" s="10"/>
      <c r="O700" s="153"/>
      <c r="P700" s="153"/>
      <c r="Q700" s="45"/>
      <c r="R700" s="45"/>
      <c r="S700" s="45"/>
      <c r="T700" s="146"/>
      <c r="U700" s="65"/>
      <c r="V700" s="65"/>
      <c r="W700" s="34"/>
      <c r="X700" s="160"/>
      <c r="Y700" s="161"/>
      <c r="Z700" s="20"/>
      <c r="AA700" s="11"/>
      <c r="AB700" s="20"/>
      <c r="AC700" s="24"/>
      <c r="AD700" s="10"/>
      <c r="AE700" s="10"/>
      <c r="AF700" s="63"/>
      <c r="AG700" s="10"/>
      <c r="AH700" s="25"/>
      <c r="AK700" s="27"/>
    </row>
    <row r="701" spans="1:37" s="26" customFormat="1" ht="15" customHeight="1" x14ac:dyDescent="0.45">
      <c r="A701" s="152"/>
      <c r="B701" s="8"/>
      <c r="C701" s="8"/>
      <c r="D701" s="9"/>
      <c r="E701" s="9"/>
      <c r="F701" s="10"/>
      <c r="G701" s="11"/>
      <c r="H701" s="51"/>
      <c r="I701" s="52"/>
      <c r="J701" s="51"/>
      <c r="K701" s="51"/>
      <c r="L701" s="9"/>
      <c r="M701" s="10"/>
      <c r="N701" s="10"/>
      <c r="O701" s="153"/>
      <c r="P701" s="153"/>
      <c r="Q701" s="45"/>
      <c r="R701" s="45"/>
      <c r="S701" s="45"/>
      <c r="T701" s="146"/>
      <c r="U701" s="65"/>
      <c r="V701" s="65"/>
      <c r="W701" s="34"/>
      <c r="X701" s="160"/>
      <c r="Y701" s="161"/>
      <c r="Z701" s="20"/>
      <c r="AA701" s="11"/>
      <c r="AB701" s="20"/>
      <c r="AC701" s="24"/>
      <c r="AD701" s="10"/>
      <c r="AE701" s="10"/>
      <c r="AF701" s="63"/>
      <c r="AG701" s="10"/>
      <c r="AH701" s="25"/>
      <c r="AK701" s="27"/>
    </row>
    <row r="702" spans="1:37" s="26" customFormat="1" ht="15" customHeight="1" x14ac:dyDescent="0.45">
      <c r="A702" s="152"/>
      <c r="B702" s="8"/>
      <c r="C702" s="8"/>
      <c r="D702" s="9"/>
      <c r="E702" s="9"/>
      <c r="F702" s="10"/>
      <c r="G702" s="11"/>
      <c r="H702" s="51"/>
      <c r="I702" s="52"/>
      <c r="J702" s="51"/>
      <c r="K702" s="51"/>
      <c r="L702" s="9"/>
      <c r="M702" s="10"/>
      <c r="N702" s="10"/>
      <c r="O702" s="153"/>
      <c r="P702" s="153"/>
      <c r="Q702" s="45"/>
      <c r="R702" s="45"/>
      <c r="S702" s="45"/>
      <c r="T702" s="146"/>
      <c r="U702" s="65"/>
      <c r="V702" s="65"/>
      <c r="W702" s="34"/>
      <c r="X702" s="160"/>
      <c r="Y702" s="161"/>
      <c r="Z702" s="20"/>
      <c r="AA702" s="11"/>
      <c r="AB702" s="20"/>
      <c r="AC702" s="24"/>
      <c r="AD702" s="10"/>
      <c r="AE702" s="10"/>
      <c r="AF702" s="63"/>
      <c r="AG702" s="10"/>
      <c r="AH702" s="25"/>
      <c r="AK702" s="27"/>
    </row>
    <row r="703" spans="1:37" s="26" customFormat="1" ht="15" customHeight="1" x14ac:dyDescent="0.45">
      <c r="A703" s="152"/>
      <c r="B703" s="8"/>
      <c r="C703" s="8"/>
      <c r="D703" s="9"/>
      <c r="E703" s="9"/>
      <c r="F703" s="10"/>
      <c r="G703" s="11"/>
      <c r="H703" s="51"/>
      <c r="I703" s="52"/>
      <c r="J703" s="51"/>
      <c r="K703" s="51"/>
      <c r="L703" s="9"/>
      <c r="M703" s="10"/>
      <c r="N703" s="10"/>
      <c r="O703" s="153"/>
      <c r="P703" s="153"/>
      <c r="Q703" s="45"/>
      <c r="R703" s="45"/>
      <c r="S703" s="45"/>
      <c r="T703" s="146"/>
      <c r="U703" s="65"/>
      <c r="V703" s="65"/>
      <c r="W703" s="34"/>
      <c r="X703" s="160"/>
      <c r="Y703" s="161"/>
      <c r="Z703" s="20"/>
      <c r="AA703" s="11"/>
      <c r="AB703" s="20"/>
      <c r="AC703" s="24"/>
      <c r="AD703" s="10"/>
      <c r="AE703" s="10"/>
      <c r="AF703" s="63"/>
      <c r="AG703" s="10"/>
      <c r="AH703" s="25"/>
      <c r="AK703" s="27"/>
    </row>
    <row r="704" spans="1:37" s="26" customFormat="1" ht="15" customHeight="1" x14ac:dyDescent="0.45">
      <c r="A704" s="152"/>
      <c r="B704" s="8"/>
      <c r="C704" s="8"/>
      <c r="D704" s="9"/>
      <c r="E704" s="9"/>
      <c r="F704" s="10"/>
      <c r="G704" s="11"/>
      <c r="H704" s="51"/>
      <c r="I704" s="52"/>
      <c r="J704" s="51"/>
      <c r="K704" s="51"/>
      <c r="L704" s="9"/>
      <c r="M704" s="10"/>
      <c r="N704" s="10"/>
      <c r="O704" s="153"/>
      <c r="P704" s="153"/>
      <c r="Q704" s="45"/>
      <c r="R704" s="45"/>
      <c r="S704" s="45"/>
      <c r="T704" s="146"/>
      <c r="U704" s="65"/>
      <c r="V704" s="65"/>
      <c r="W704" s="34"/>
      <c r="X704" s="160"/>
      <c r="Y704" s="161"/>
      <c r="Z704" s="20"/>
      <c r="AA704" s="11"/>
      <c r="AB704" s="20"/>
      <c r="AC704" s="24"/>
      <c r="AD704" s="10"/>
      <c r="AE704" s="10"/>
      <c r="AF704" s="63"/>
      <c r="AG704" s="10"/>
      <c r="AH704" s="25"/>
      <c r="AK704" s="27"/>
    </row>
    <row r="705" spans="1:38" s="26" customFormat="1" ht="15" customHeight="1" x14ac:dyDescent="0.45">
      <c r="A705" s="152"/>
      <c r="B705" s="8"/>
      <c r="C705" s="8"/>
      <c r="D705" s="9"/>
      <c r="E705" s="9"/>
      <c r="F705" s="10"/>
      <c r="G705" s="11"/>
      <c r="H705" s="51"/>
      <c r="I705" s="52"/>
      <c r="J705" s="51"/>
      <c r="K705" s="51"/>
      <c r="L705" s="9"/>
      <c r="M705" s="10"/>
      <c r="N705" s="10"/>
      <c r="O705" s="153"/>
      <c r="P705" s="153"/>
      <c r="Q705" s="45"/>
      <c r="R705" s="45"/>
      <c r="S705" s="45"/>
      <c r="T705" s="146"/>
      <c r="U705" s="65"/>
      <c r="V705" s="65"/>
      <c r="W705" s="34"/>
      <c r="X705" s="160"/>
      <c r="Y705" s="161"/>
      <c r="Z705" s="20"/>
      <c r="AA705" s="11"/>
      <c r="AB705" s="20"/>
      <c r="AC705" s="24"/>
      <c r="AD705" s="10"/>
      <c r="AE705" s="10"/>
      <c r="AF705" s="63"/>
      <c r="AG705" s="10"/>
      <c r="AH705" s="25"/>
      <c r="AK705" s="27"/>
    </row>
    <row r="706" spans="1:38" s="26" customFormat="1" ht="15" customHeight="1" x14ac:dyDescent="0.45">
      <c r="A706" s="152"/>
      <c r="B706" s="8"/>
      <c r="C706" s="8"/>
      <c r="D706" s="9"/>
      <c r="E706" s="9"/>
      <c r="F706" s="10"/>
      <c r="G706" s="11"/>
      <c r="H706" s="51"/>
      <c r="I706" s="52"/>
      <c r="J706" s="51"/>
      <c r="K706" s="51"/>
      <c r="L706" s="9"/>
      <c r="M706" s="10"/>
      <c r="N706" s="10"/>
      <c r="O706" s="153"/>
      <c r="P706" s="153"/>
      <c r="Q706" s="45"/>
      <c r="R706" s="45"/>
      <c r="S706" s="45"/>
      <c r="T706" s="146"/>
      <c r="U706" s="65"/>
      <c r="V706" s="65"/>
      <c r="W706" s="34"/>
      <c r="X706" s="160"/>
      <c r="Y706" s="161"/>
      <c r="Z706" s="20"/>
      <c r="AA706" s="11"/>
      <c r="AB706" s="20"/>
      <c r="AC706" s="24"/>
      <c r="AD706" s="10"/>
      <c r="AE706" s="10"/>
      <c r="AF706" s="63"/>
      <c r="AG706" s="10"/>
      <c r="AH706" s="25"/>
      <c r="AK706" s="27"/>
    </row>
    <row r="707" spans="1:38" s="26" customFormat="1" ht="15" customHeight="1" x14ac:dyDescent="0.45">
      <c r="A707" s="152"/>
      <c r="B707" s="8"/>
      <c r="C707" s="8"/>
      <c r="D707" s="9"/>
      <c r="E707" s="9"/>
      <c r="F707" s="10"/>
      <c r="G707" s="11"/>
      <c r="H707" s="51"/>
      <c r="I707" s="52"/>
      <c r="J707" s="51"/>
      <c r="K707" s="51"/>
      <c r="L707" s="9"/>
      <c r="M707" s="10"/>
      <c r="N707" s="10"/>
      <c r="O707" s="153"/>
      <c r="P707" s="153"/>
      <c r="Q707" s="45"/>
      <c r="R707" s="45"/>
      <c r="S707" s="45"/>
      <c r="T707" s="146"/>
      <c r="U707" s="65"/>
      <c r="V707" s="65"/>
      <c r="W707" s="34"/>
      <c r="X707" s="160"/>
      <c r="Y707" s="161"/>
      <c r="Z707" s="20"/>
      <c r="AA707" s="11"/>
      <c r="AB707" s="20"/>
      <c r="AC707" s="24"/>
      <c r="AD707" s="10"/>
      <c r="AE707" s="10"/>
      <c r="AF707" s="63"/>
      <c r="AG707" s="10"/>
      <c r="AH707" s="25"/>
      <c r="AK707" s="27"/>
    </row>
    <row r="708" spans="1:38" s="26" customFormat="1" ht="15" customHeight="1" x14ac:dyDescent="0.45">
      <c r="A708" s="152"/>
      <c r="B708" s="8"/>
      <c r="C708" s="8"/>
      <c r="D708" s="9"/>
      <c r="E708" s="9"/>
      <c r="F708" s="10"/>
      <c r="G708" s="11"/>
      <c r="H708" s="51"/>
      <c r="I708" s="52"/>
      <c r="J708" s="51"/>
      <c r="K708" s="51"/>
      <c r="L708" s="9"/>
      <c r="M708" s="10"/>
      <c r="N708" s="10"/>
      <c r="O708" s="153"/>
      <c r="P708" s="153"/>
      <c r="Q708" s="45"/>
      <c r="R708" s="45"/>
      <c r="S708" s="45"/>
      <c r="T708" s="146"/>
      <c r="U708" s="65"/>
      <c r="V708" s="65"/>
      <c r="W708" s="34"/>
      <c r="X708" s="160"/>
      <c r="Y708" s="161"/>
      <c r="Z708" s="20"/>
      <c r="AA708" s="11"/>
      <c r="AB708" s="20"/>
      <c r="AC708" s="24"/>
      <c r="AD708" s="10"/>
      <c r="AE708" s="10"/>
      <c r="AF708" s="63"/>
      <c r="AG708" s="10"/>
      <c r="AH708" s="25"/>
      <c r="AK708" s="27"/>
    </row>
    <row r="709" spans="1:38" s="26" customFormat="1" ht="15" customHeight="1" x14ac:dyDescent="0.45">
      <c r="A709" s="152"/>
      <c r="B709" s="8"/>
      <c r="C709" s="8"/>
      <c r="D709" s="9"/>
      <c r="E709" s="9"/>
      <c r="F709" s="10"/>
      <c r="G709" s="11"/>
      <c r="H709" s="51"/>
      <c r="I709" s="52"/>
      <c r="J709" s="51"/>
      <c r="K709" s="51"/>
      <c r="L709" s="9"/>
      <c r="M709" s="10"/>
      <c r="N709" s="10"/>
      <c r="O709" s="153"/>
      <c r="P709" s="153"/>
      <c r="Q709" s="45"/>
      <c r="R709" s="45"/>
      <c r="S709" s="45"/>
      <c r="T709" s="146"/>
      <c r="U709" s="65"/>
      <c r="V709" s="65"/>
      <c r="W709" s="34"/>
      <c r="X709" s="160"/>
      <c r="Y709" s="161"/>
      <c r="Z709" s="20"/>
      <c r="AA709" s="11"/>
      <c r="AB709" s="20"/>
      <c r="AC709" s="24"/>
      <c r="AD709" s="10"/>
      <c r="AE709" s="10"/>
      <c r="AF709" s="63"/>
      <c r="AG709" s="10"/>
      <c r="AH709" s="25"/>
      <c r="AK709" s="27"/>
    </row>
    <row r="710" spans="1:38" s="26" customFormat="1" ht="15" customHeight="1" x14ac:dyDescent="0.45">
      <c r="A710" s="152"/>
      <c r="B710" s="8"/>
      <c r="C710" s="8"/>
      <c r="D710" s="9"/>
      <c r="E710" s="9"/>
      <c r="F710" s="10"/>
      <c r="G710" s="11"/>
      <c r="H710" s="51"/>
      <c r="I710" s="52"/>
      <c r="J710" s="51"/>
      <c r="K710" s="51"/>
      <c r="L710" s="9"/>
      <c r="M710" s="10"/>
      <c r="N710" s="10"/>
      <c r="O710" s="153"/>
      <c r="P710" s="153"/>
      <c r="Q710" s="45"/>
      <c r="R710" s="45"/>
      <c r="S710" s="45"/>
      <c r="T710" s="146"/>
      <c r="U710" s="65"/>
      <c r="V710" s="65"/>
      <c r="W710" s="34"/>
      <c r="X710" s="160"/>
      <c r="Y710" s="161"/>
      <c r="Z710" s="20"/>
      <c r="AA710" s="11"/>
      <c r="AB710" s="20"/>
      <c r="AC710" s="24"/>
      <c r="AD710" s="10"/>
      <c r="AE710" s="10"/>
      <c r="AF710" s="63"/>
      <c r="AG710" s="10"/>
      <c r="AH710" s="25"/>
      <c r="AK710" s="27"/>
    </row>
    <row r="711" spans="1:38" s="26" customFormat="1" ht="15" customHeight="1" x14ac:dyDescent="0.45">
      <c r="A711" s="28"/>
      <c r="B711" s="8"/>
      <c r="C711" s="8"/>
      <c r="D711" s="9"/>
      <c r="E711" s="9"/>
      <c r="F711" s="10"/>
      <c r="G711" s="11"/>
      <c r="H711" s="51"/>
      <c r="I711" s="52"/>
      <c r="J711" s="51"/>
      <c r="K711" s="51"/>
      <c r="L711" s="9"/>
      <c r="M711" s="10"/>
      <c r="N711" s="10"/>
      <c r="O711" s="17"/>
      <c r="P711" s="17"/>
      <c r="Q711" s="45"/>
      <c r="R711" s="45"/>
      <c r="S711" s="45"/>
      <c r="T711" s="146"/>
      <c r="U711" s="65"/>
      <c r="V711" s="65"/>
      <c r="W711" s="34"/>
      <c r="X711" s="160"/>
      <c r="Y711" s="161"/>
      <c r="Z711" s="20"/>
      <c r="AA711" s="11"/>
      <c r="AB711" s="20"/>
      <c r="AC711" s="24"/>
      <c r="AD711" s="10"/>
      <c r="AE711" s="10"/>
      <c r="AF711" s="63"/>
      <c r="AG711" s="10"/>
      <c r="AH711" s="25"/>
      <c r="AK711" s="27"/>
    </row>
    <row r="712" spans="1:38" s="26" customFormat="1" ht="14.25" customHeight="1" thickBot="1" x14ac:dyDescent="0.5">
      <c r="A712" s="8"/>
      <c r="B712" s="8"/>
      <c r="C712" s="8"/>
      <c r="D712" s="9"/>
      <c r="E712" s="9"/>
      <c r="F712" s="10"/>
      <c r="G712" s="162"/>
      <c r="H712" s="163"/>
      <c r="I712" s="164"/>
      <c r="J712" s="51"/>
      <c r="K712" s="165"/>
      <c r="L712" s="16"/>
      <c r="M712" s="10"/>
      <c r="N712" s="10"/>
      <c r="O712" s="17"/>
      <c r="P712" s="17"/>
      <c r="Q712" s="166">
        <f t="shared" ref="Q712:X712" si="180">SUM(Q2:Q711)</f>
        <v>4650055.7923242832</v>
      </c>
      <c r="R712" s="166">
        <f t="shared" si="180"/>
        <v>4410820.0787307629</v>
      </c>
      <c r="S712" s="166">
        <f t="shared" si="180"/>
        <v>9060875.8710550461</v>
      </c>
      <c r="T712" s="166">
        <f t="shared" si="180"/>
        <v>9968273.4151605498</v>
      </c>
      <c r="U712" s="166">
        <f t="shared" si="180"/>
        <v>3769215.6938224975</v>
      </c>
      <c r="V712" s="166">
        <f t="shared" si="180"/>
        <v>162369.77275699997</v>
      </c>
      <c r="W712" s="166">
        <f t="shared" si="180"/>
        <v>3917217.3665794977</v>
      </c>
      <c r="X712" s="166">
        <f t="shared" si="180"/>
        <v>5143658.5044755517</v>
      </c>
      <c r="Y712" s="167">
        <f>AVERAGE(Y2:Y573)</f>
        <v>0.69481820736000888</v>
      </c>
      <c r="Z712" s="20"/>
      <c r="AA712" s="10"/>
      <c r="AB712" s="20"/>
      <c r="AC712" s="74"/>
      <c r="AD712" s="10"/>
      <c r="AE712" s="10"/>
      <c r="AF712" s="8"/>
      <c r="AG712" s="10"/>
      <c r="AH712" s="25"/>
      <c r="AK712" s="27"/>
    </row>
    <row r="713" spans="1:38" s="26" customFormat="1" ht="14.7" thickTop="1" x14ac:dyDescent="0.5">
      <c r="A713" s="168"/>
      <c r="B713" s="168"/>
      <c r="C713" s="168"/>
      <c r="F713" s="169"/>
      <c r="G713" s="170"/>
      <c r="H713" s="171"/>
      <c r="I713" s="172"/>
      <c r="J713" s="173"/>
      <c r="K713" s="174"/>
      <c r="O713" s="26" t="s">
        <v>92</v>
      </c>
      <c r="P713" s="175"/>
      <c r="Q713" s="175"/>
      <c r="R713" s="175"/>
      <c r="S713" s="175"/>
      <c r="T713" s="175"/>
      <c r="U713" s="169"/>
      <c r="W713" s="176"/>
      <c r="X713" s="169"/>
      <c r="Y713" s="168"/>
      <c r="AA713" s="168"/>
      <c r="AC713" s="168"/>
      <c r="AD713" s="168"/>
      <c r="AE713" s="168"/>
      <c r="AF713" s="170"/>
      <c r="AG713" s="170"/>
      <c r="AK713" s="27"/>
    </row>
    <row r="714" spans="1:38" s="26" customFormat="1" x14ac:dyDescent="0.45">
      <c r="A714" s="168"/>
      <c r="B714" s="168"/>
      <c r="C714" s="168"/>
      <c r="E714" s="168"/>
      <c r="F714" s="169"/>
      <c r="AA714" s="168"/>
      <c r="AC714" s="168"/>
      <c r="AD714" s="168"/>
      <c r="AE714" s="168"/>
      <c r="AF714" s="170"/>
      <c r="AG714" s="170"/>
      <c r="AK714" s="27"/>
    </row>
    <row r="715" spans="1:38" s="26" customFormat="1" x14ac:dyDescent="0.45">
      <c r="A715" s="168"/>
      <c r="B715" s="168"/>
      <c r="C715" s="168"/>
      <c r="E715" s="168"/>
      <c r="F715" s="169"/>
      <c r="S715" s="26" t="s">
        <v>92</v>
      </c>
      <c r="Z715" s="168"/>
      <c r="AB715" s="168"/>
      <c r="AD715" s="168"/>
      <c r="AE715" s="168"/>
      <c r="AF715" s="168"/>
      <c r="AG715" s="170"/>
      <c r="AH715" s="170"/>
      <c r="AL715" s="27"/>
    </row>
    <row r="716" spans="1:38" s="26" customFormat="1" x14ac:dyDescent="0.45">
      <c r="A716" s="168"/>
      <c r="B716" s="168"/>
      <c r="C716" s="168"/>
      <c r="E716" s="168"/>
      <c r="F716" s="169"/>
      <c r="Z716" s="168"/>
      <c r="AB716" s="168"/>
      <c r="AD716" s="168"/>
      <c r="AE716" s="168"/>
      <c r="AF716" s="168"/>
      <c r="AG716" s="170"/>
      <c r="AH716" s="170"/>
      <c r="AL716" s="27"/>
    </row>
    <row r="717" spans="1:38" s="26" customFormat="1" x14ac:dyDescent="0.45">
      <c r="A717" s="168"/>
      <c r="B717" s="168"/>
      <c r="C717" s="168"/>
      <c r="E717" s="168"/>
      <c r="F717" s="169"/>
      <c r="Z717" s="168"/>
      <c r="AB717" s="168"/>
      <c r="AD717" s="168"/>
      <c r="AE717" s="168"/>
      <c r="AF717" s="168"/>
      <c r="AG717" s="170"/>
      <c r="AH717" s="170"/>
      <c r="AL717" s="27"/>
    </row>
    <row r="718" spans="1:38" s="26" customFormat="1" x14ac:dyDescent="0.45">
      <c r="A718" s="168"/>
      <c r="B718" s="168"/>
      <c r="C718" s="168"/>
      <c r="E718" s="168"/>
      <c r="F718" s="169"/>
      <c r="Z718" s="168"/>
      <c r="AB718" s="168"/>
      <c r="AD718" s="168"/>
      <c r="AE718" s="168"/>
      <c r="AF718" s="168"/>
      <c r="AG718" s="170"/>
      <c r="AH718" s="170"/>
      <c r="AL718" s="27"/>
    </row>
    <row r="719" spans="1:38" s="26" customFormat="1" x14ac:dyDescent="0.45">
      <c r="A719" s="168"/>
      <c r="B719" s="168"/>
      <c r="C719" s="168"/>
      <c r="E719" s="168"/>
      <c r="F719" s="169"/>
      <c r="Z719" s="168"/>
      <c r="AB719" s="168"/>
      <c r="AD719" s="168"/>
      <c r="AE719" s="168"/>
      <c r="AF719" s="168"/>
      <c r="AG719" s="170"/>
      <c r="AH719" s="170"/>
      <c r="AL719" s="27"/>
    </row>
    <row r="720" spans="1:38" s="26" customFormat="1" x14ac:dyDescent="0.45">
      <c r="A720" s="168"/>
      <c r="B720" s="168"/>
      <c r="C720" s="168"/>
      <c r="E720" s="168"/>
      <c r="F720" s="169"/>
      <c r="Z720" s="168"/>
      <c r="AB720" s="168"/>
      <c r="AD720" s="168"/>
      <c r="AE720" s="168"/>
      <c r="AF720" s="168"/>
      <c r="AG720" s="170"/>
      <c r="AH720" s="170"/>
      <c r="AL720" s="27"/>
    </row>
    <row r="721" spans="1:52" s="26" customFormat="1" x14ac:dyDescent="0.45">
      <c r="A721" s="168"/>
      <c r="B721" s="168"/>
      <c r="C721" s="168"/>
      <c r="E721" s="168"/>
      <c r="F721" s="169"/>
      <c r="Z721" s="168"/>
      <c r="AB721" s="168"/>
      <c r="AD721" s="168"/>
      <c r="AE721" s="168"/>
      <c r="AF721" s="168"/>
      <c r="AG721" s="170"/>
      <c r="AH721" s="170"/>
      <c r="AL721" s="27"/>
    </row>
    <row r="722" spans="1:52" s="26" customFormat="1" x14ac:dyDescent="0.45">
      <c r="A722" s="168"/>
      <c r="B722" s="168"/>
      <c r="C722" s="168"/>
      <c r="E722" s="168"/>
      <c r="F722" s="168"/>
      <c r="Z722" s="168"/>
      <c r="AB722" s="168"/>
      <c r="AD722" s="168"/>
      <c r="AE722" s="168"/>
      <c r="AF722" s="168"/>
      <c r="AG722" s="170"/>
      <c r="AH722" s="170"/>
      <c r="AL722" s="27"/>
    </row>
    <row r="723" spans="1:52" s="26" customFormat="1" x14ac:dyDescent="0.45">
      <c r="A723" s="168"/>
      <c r="B723" s="168"/>
      <c r="C723" s="168"/>
      <c r="E723" s="168"/>
      <c r="F723" s="168"/>
      <c r="Z723" s="168"/>
      <c r="AB723" s="168"/>
      <c r="AD723" s="168"/>
      <c r="AE723" s="168"/>
      <c r="AF723" s="168"/>
      <c r="AG723" s="168"/>
      <c r="AH723" s="168"/>
      <c r="AL723" s="27"/>
    </row>
    <row r="724" spans="1:52" s="26" customFormat="1" x14ac:dyDescent="0.45">
      <c r="A724" s="168"/>
      <c r="B724" s="168"/>
      <c r="C724" s="168"/>
      <c r="E724" s="177"/>
      <c r="F724" s="178"/>
      <c r="Z724" s="168"/>
      <c r="AB724" s="168"/>
      <c r="AD724" s="168"/>
      <c r="AE724" s="168"/>
      <c r="AF724" s="168"/>
      <c r="AG724" s="168"/>
      <c r="AH724" s="168"/>
      <c r="AL724" s="27"/>
    </row>
    <row r="725" spans="1:52" s="26" customFormat="1" x14ac:dyDescent="0.45">
      <c r="A725" s="168"/>
      <c r="B725" s="168"/>
      <c r="C725" s="168"/>
      <c r="E725" s="177"/>
      <c r="F725" s="178"/>
      <c r="Z725" s="168"/>
      <c r="AB725" s="168"/>
      <c r="AD725" s="168"/>
      <c r="AE725" s="168"/>
      <c r="AF725" s="168"/>
      <c r="AG725" s="168"/>
      <c r="AH725" s="168"/>
      <c r="AL725" s="27"/>
    </row>
    <row r="726" spans="1:52" s="26" customFormat="1" x14ac:dyDescent="0.45">
      <c r="A726" s="168"/>
      <c r="B726" s="168"/>
      <c r="C726" s="168"/>
      <c r="E726" s="168"/>
      <c r="F726" s="179"/>
      <c r="Z726" s="168"/>
      <c r="AB726" s="168"/>
      <c r="AD726" s="168"/>
      <c r="AE726" s="168"/>
      <c r="AF726" s="168"/>
      <c r="AG726" s="168"/>
      <c r="AH726" s="168"/>
      <c r="AL726" s="27"/>
    </row>
    <row r="727" spans="1:52" s="26" customFormat="1" x14ac:dyDescent="0.45">
      <c r="A727" s="168"/>
      <c r="B727" s="168"/>
      <c r="C727" s="168"/>
      <c r="E727" s="168"/>
      <c r="F727" s="179"/>
      <c r="Z727" s="168"/>
      <c r="AB727" s="168"/>
      <c r="AD727" s="168"/>
      <c r="AE727" s="168"/>
      <c r="AF727" s="168"/>
      <c r="AG727" s="168"/>
      <c r="AH727" s="168"/>
      <c r="AL727" s="27"/>
    </row>
    <row r="728" spans="1:52" s="26" customFormat="1" x14ac:dyDescent="0.45">
      <c r="A728" s="168"/>
      <c r="B728" s="168"/>
      <c r="C728" s="168"/>
      <c r="E728" s="168"/>
      <c r="F728" s="179"/>
      <c r="Z728" s="168"/>
      <c r="AB728" s="168"/>
      <c r="AD728" s="168"/>
      <c r="AE728" s="168"/>
      <c r="AF728" s="168"/>
      <c r="AG728" s="168"/>
      <c r="AH728" s="168"/>
      <c r="AL728" s="27"/>
    </row>
    <row r="729" spans="1:52" s="26" customFormat="1" x14ac:dyDescent="0.45">
      <c r="A729" s="169"/>
      <c r="B729" s="169"/>
      <c r="C729" s="169"/>
      <c r="D729" s="169"/>
      <c r="E729" s="168"/>
      <c r="F729" s="169"/>
      <c r="Z729" s="168"/>
      <c r="AB729" s="168"/>
      <c r="AD729" s="168"/>
      <c r="AE729" s="168"/>
      <c r="AF729" s="168"/>
      <c r="AG729" s="168"/>
      <c r="AH729" s="168"/>
      <c r="AL729" s="27"/>
    </row>
    <row r="730" spans="1:52" s="169" customFormat="1" x14ac:dyDescent="0.45">
      <c r="E730" s="168"/>
      <c r="Z730" s="168"/>
      <c r="AA730" s="26"/>
      <c r="AB730" s="168"/>
      <c r="AC730" s="26"/>
      <c r="AD730" s="168"/>
      <c r="AE730" s="168"/>
      <c r="AF730" s="168"/>
      <c r="AG730" s="168"/>
      <c r="AH730" s="168"/>
      <c r="AI730" s="26"/>
      <c r="AJ730" s="26"/>
      <c r="AK730" s="26"/>
      <c r="AL730" s="27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</row>
    <row r="731" spans="1:52" s="169" customFormat="1" x14ac:dyDescent="0.45">
      <c r="E731" s="168"/>
      <c r="F731" s="168"/>
      <c r="Z731" s="168"/>
      <c r="AA731" s="26"/>
      <c r="AB731" s="168"/>
      <c r="AC731" s="26"/>
      <c r="AD731" s="168"/>
      <c r="AE731" s="168"/>
      <c r="AF731" s="168"/>
      <c r="AG731" s="168"/>
      <c r="AH731" s="168"/>
      <c r="AI731" s="26"/>
      <c r="AJ731" s="26"/>
      <c r="AK731" s="26"/>
      <c r="AL731" s="27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</row>
    <row r="732" spans="1:52" s="169" customFormat="1" x14ac:dyDescent="0.45">
      <c r="E732" s="177"/>
      <c r="Z732" s="168"/>
      <c r="AA732" s="26"/>
      <c r="AB732" s="168"/>
      <c r="AC732" s="26"/>
      <c r="AD732" s="168"/>
      <c r="AE732" s="168"/>
      <c r="AF732" s="168"/>
      <c r="AG732" s="168"/>
      <c r="AH732" s="168"/>
      <c r="AI732" s="26"/>
      <c r="AJ732" s="26"/>
      <c r="AK732" s="26"/>
      <c r="AL732" s="27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</row>
    <row r="733" spans="1:52" s="169" customFormat="1" x14ac:dyDescent="0.45">
      <c r="E733" s="177"/>
      <c r="F733" s="178"/>
      <c r="Z733" s="168"/>
      <c r="AA733" s="26"/>
      <c r="AB733" s="168"/>
      <c r="AC733" s="26"/>
      <c r="AD733" s="168"/>
      <c r="AE733" s="168"/>
      <c r="AF733" s="168"/>
      <c r="AG733" s="168"/>
      <c r="AH733" s="168"/>
      <c r="AI733" s="26"/>
      <c r="AJ733" s="26"/>
      <c r="AK733" s="26"/>
      <c r="AL733" s="27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</row>
    <row r="734" spans="1:52" s="169" customFormat="1" x14ac:dyDescent="0.45">
      <c r="E734" s="168"/>
      <c r="O734" s="26"/>
      <c r="Z734" s="168"/>
      <c r="AA734" s="26"/>
      <c r="AB734" s="168"/>
      <c r="AC734" s="26"/>
      <c r="AD734" s="168"/>
      <c r="AE734" s="168"/>
      <c r="AF734" s="168"/>
      <c r="AG734" s="168"/>
      <c r="AH734" s="168"/>
      <c r="AI734" s="26"/>
      <c r="AJ734" s="26"/>
      <c r="AK734" s="26"/>
      <c r="AL734" s="27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</row>
    <row r="735" spans="1:52" s="169" customFormat="1" ht="14.35" x14ac:dyDescent="0.5">
      <c r="E735" s="168"/>
      <c r="F735" s="178"/>
      <c r="G735" s="170"/>
      <c r="H735" s="171"/>
      <c r="I735" s="172"/>
      <c r="J735" s="173"/>
      <c r="K735" s="174"/>
      <c r="L735" s="26"/>
      <c r="M735" s="26"/>
      <c r="N735" s="26"/>
      <c r="O735" s="180"/>
      <c r="P735" s="181"/>
      <c r="Q735" s="175"/>
      <c r="R735" s="175"/>
      <c r="S735" s="175"/>
      <c r="T735" s="175"/>
      <c r="Y735" s="168"/>
      <c r="Z735" s="26"/>
      <c r="AA735" s="168"/>
      <c r="AB735" s="26"/>
      <c r="AC735" s="168"/>
      <c r="AD735" s="168"/>
      <c r="AE735" s="168"/>
      <c r="AF735" s="168"/>
      <c r="AG735" s="168"/>
      <c r="AH735" s="26"/>
      <c r="AI735" s="26"/>
      <c r="AJ735" s="26"/>
      <c r="AK735" s="27"/>
    </row>
    <row r="736" spans="1:52" s="169" customFormat="1" ht="14.35" x14ac:dyDescent="0.5">
      <c r="E736" s="168"/>
      <c r="F736" s="178"/>
      <c r="G736" s="170"/>
      <c r="H736" s="171"/>
      <c r="I736" s="172"/>
      <c r="J736" s="173"/>
      <c r="K736" s="174"/>
      <c r="L736" s="26"/>
      <c r="M736" s="26"/>
      <c r="N736" s="26"/>
      <c r="O736" s="182"/>
      <c r="P736" s="181"/>
      <c r="Q736" s="175"/>
      <c r="R736" s="175"/>
      <c r="S736" s="175"/>
      <c r="T736" s="175"/>
      <c r="Y736" s="168"/>
      <c r="Z736" s="26"/>
      <c r="AA736" s="168"/>
      <c r="AB736" s="26"/>
      <c r="AC736" s="168"/>
      <c r="AD736" s="168"/>
      <c r="AE736" s="168"/>
      <c r="AF736" s="168"/>
      <c r="AG736" s="168"/>
      <c r="AH736" s="26"/>
      <c r="AI736" s="26"/>
      <c r="AJ736" s="26"/>
      <c r="AK736" s="27"/>
    </row>
    <row r="737" spans="5:37" s="169" customFormat="1" ht="14.35" x14ac:dyDescent="0.5">
      <c r="E737" s="168"/>
      <c r="F737" s="178"/>
      <c r="G737" s="170"/>
      <c r="H737" s="171"/>
      <c r="I737" s="172"/>
      <c r="J737" s="173"/>
      <c r="K737" s="174"/>
      <c r="L737" s="26"/>
      <c r="M737" s="26"/>
      <c r="N737" s="26"/>
      <c r="O737" s="180"/>
      <c r="P737" s="181"/>
      <c r="Q737" s="175"/>
      <c r="R737" s="175"/>
      <c r="S737" s="175"/>
      <c r="T737" s="175"/>
      <c r="Y737" s="168"/>
      <c r="Z737" s="26"/>
      <c r="AA737" s="168"/>
      <c r="AB737" s="26"/>
      <c r="AC737" s="168"/>
      <c r="AD737" s="168"/>
      <c r="AE737" s="168"/>
      <c r="AF737" s="168"/>
      <c r="AG737" s="168"/>
      <c r="AH737" s="26"/>
      <c r="AI737" s="26"/>
      <c r="AJ737" s="26"/>
      <c r="AK737" s="27"/>
    </row>
    <row r="738" spans="5:37" s="169" customFormat="1" ht="14.35" x14ac:dyDescent="0.5">
      <c r="E738" s="168"/>
      <c r="F738" s="168"/>
      <c r="G738" s="168"/>
      <c r="H738" s="174"/>
      <c r="I738" s="183"/>
      <c r="J738" s="174"/>
      <c r="K738" s="174"/>
      <c r="L738" s="26"/>
      <c r="M738" s="26"/>
      <c r="N738" s="26"/>
      <c r="O738" s="182"/>
      <c r="P738" s="181"/>
      <c r="Q738" s="175"/>
      <c r="R738" s="175"/>
      <c r="S738" s="175"/>
      <c r="T738" s="175"/>
      <c r="Y738" s="168"/>
      <c r="Z738" s="26"/>
      <c r="AA738" s="168"/>
      <c r="AB738" s="26"/>
      <c r="AC738" s="168"/>
      <c r="AD738" s="168"/>
      <c r="AE738" s="168"/>
      <c r="AF738" s="168"/>
      <c r="AG738" s="168"/>
      <c r="AH738" s="26"/>
      <c r="AI738" s="26"/>
      <c r="AJ738" s="26"/>
      <c r="AK738" s="27"/>
    </row>
    <row r="739" spans="5:37" s="169" customFormat="1" ht="14.35" x14ac:dyDescent="0.5">
      <c r="E739" s="168"/>
      <c r="F739" s="168"/>
      <c r="G739" s="168"/>
      <c r="H739" s="174"/>
      <c r="I739" s="183"/>
      <c r="J739" s="174"/>
      <c r="K739" s="174"/>
      <c r="L739" s="26"/>
      <c r="M739" s="26"/>
      <c r="N739" s="26"/>
      <c r="O739" s="180"/>
      <c r="P739" s="181"/>
      <c r="Q739" s="175"/>
      <c r="R739" s="175"/>
      <c r="S739" s="175"/>
      <c r="T739" s="175"/>
      <c r="Y739" s="168"/>
      <c r="Z739" s="26"/>
      <c r="AA739" s="168"/>
      <c r="AB739" s="26"/>
      <c r="AC739" s="168"/>
      <c r="AD739" s="168"/>
      <c r="AE739" s="168"/>
      <c r="AF739" s="168"/>
      <c r="AG739" s="168"/>
      <c r="AH739" s="26"/>
      <c r="AI739" s="26"/>
      <c r="AJ739" s="26"/>
      <c r="AK739" s="27"/>
    </row>
    <row r="740" spans="5:37" s="169" customFormat="1" ht="14.35" x14ac:dyDescent="0.5">
      <c r="E740" s="168"/>
      <c r="F740" s="184"/>
      <c r="G740" s="168"/>
      <c r="H740" s="174"/>
      <c r="I740" s="183"/>
      <c r="J740" s="174"/>
      <c r="K740" s="174"/>
      <c r="L740" s="26"/>
      <c r="M740" s="26"/>
      <c r="N740" s="26"/>
      <c r="O740" s="180"/>
      <c r="P740" s="181"/>
      <c r="Q740" s="175"/>
      <c r="R740" s="175"/>
      <c r="S740" s="175"/>
      <c r="T740" s="175"/>
      <c r="Y740" s="168"/>
      <c r="Z740" s="26"/>
      <c r="AA740" s="168"/>
      <c r="AB740" s="26"/>
      <c r="AC740" s="168"/>
      <c r="AD740" s="168"/>
      <c r="AE740" s="168"/>
      <c r="AF740" s="168"/>
      <c r="AG740" s="168"/>
      <c r="AH740" s="26"/>
      <c r="AI740" s="26"/>
      <c r="AJ740" s="26"/>
      <c r="AK740" s="27"/>
    </row>
    <row r="741" spans="5:37" s="169" customFormat="1" ht="14.35" x14ac:dyDescent="0.5">
      <c r="E741" s="168"/>
      <c r="F741" s="178"/>
      <c r="G741" s="168"/>
      <c r="H741" s="174"/>
      <c r="I741" s="183"/>
      <c r="J741" s="174"/>
      <c r="K741" s="174"/>
      <c r="L741" s="26"/>
      <c r="M741" s="26"/>
      <c r="N741" s="26"/>
      <c r="O741" s="182"/>
      <c r="P741" s="181"/>
      <c r="Q741" s="175"/>
      <c r="R741" s="175"/>
      <c r="S741" s="175"/>
      <c r="T741" s="175"/>
      <c r="Y741" s="168"/>
      <c r="Z741" s="26"/>
      <c r="AA741" s="168"/>
      <c r="AB741" s="26"/>
      <c r="AC741" s="168"/>
      <c r="AD741" s="168"/>
      <c r="AE741" s="168"/>
      <c r="AF741" s="168"/>
      <c r="AG741" s="168"/>
      <c r="AH741" s="26"/>
      <c r="AI741" s="26"/>
      <c r="AJ741" s="26"/>
      <c r="AK741" s="27"/>
    </row>
    <row r="742" spans="5:37" s="169" customFormat="1" ht="14.35" x14ac:dyDescent="0.5">
      <c r="E742" s="185"/>
      <c r="F742" s="184"/>
      <c r="G742" s="170"/>
      <c r="H742" s="171"/>
      <c r="I742" s="172"/>
      <c r="J742" s="173"/>
      <c r="K742" s="174"/>
      <c r="L742" s="26"/>
      <c r="M742" s="26"/>
      <c r="N742" s="26"/>
      <c r="O742" s="180"/>
      <c r="P742" s="181"/>
      <c r="Q742" s="175"/>
      <c r="R742" s="175"/>
      <c r="S742" s="175"/>
      <c r="T742" s="175"/>
      <c r="Y742" s="168"/>
      <c r="Z742" s="26"/>
      <c r="AA742" s="168"/>
      <c r="AB742" s="26"/>
      <c r="AC742" s="168"/>
      <c r="AD742" s="168"/>
      <c r="AE742" s="168"/>
      <c r="AF742" s="168"/>
      <c r="AG742" s="168"/>
      <c r="AH742" s="26"/>
      <c r="AI742" s="26"/>
      <c r="AJ742" s="26"/>
      <c r="AK742" s="27"/>
    </row>
    <row r="743" spans="5:37" s="169" customFormat="1" ht="14.35" x14ac:dyDescent="0.5">
      <c r="E743" s="185"/>
      <c r="F743" s="184"/>
      <c r="G743" s="170"/>
      <c r="H743" s="171"/>
      <c r="I743" s="172"/>
      <c r="J743" s="173"/>
      <c r="K743" s="174"/>
      <c r="L743" s="26"/>
      <c r="M743" s="26"/>
      <c r="N743" s="26"/>
      <c r="O743" s="182"/>
      <c r="P743" s="181"/>
      <c r="Q743" s="175"/>
      <c r="R743" s="175"/>
      <c r="S743" s="175"/>
      <c r="T743" s="175"/>
      <c r="Y743" s="168"/>
      <c r="Z743" s="26"/>
      <c r="AA743" s="168"/>
      <c r="AB743" s="26"/>
      <c r="AC743" s="168"/>
      <c r="AD743" s="168"/>
      <c r="AE743" s="168"/>
      <c r="AF743" s="168"/>
      <c r="AG743" s="168"/>
      <c r="AH743" s="26"/>
      <c r="AI743" s="26"/>
      <c r="AJ743" s="26"/>
      <c r="AK743" s="27"/>
    </row>
    <row r="744" spans="5:37" s="169" customFormat="1" ht="14.35" x14ac:dyDescent="0.5">
      <c r="E744" s="168"/>
      <c r="F744" s="168"/>
      <c r="G744" s="168"/>
      <c r="H744" s="174"/>
      <c r="I744" s="183"/>
      <c r="J744" s="174"/>
      <c r="K744" s="174"/>
      <c r="L744" s="26"/>
      <c r="M744" s="26"/>
      <c r="N744" s="26"/>
      <c r="O744" s="180"/>
      <c r="P744" s="181"/>
      <c r="Q744" s="175"/>
      <c r="R744" s="175"/>
      <c r="S744" s="175"/>
      <c r="T744" s="175"/>
      <c r="Y744" s="168"/>
      <c r="Z744" s="26"/>
      <c r="AA744" s="168"/>
      <c r="AB744" s="26"/>
      <c r="AC744" s="168"/>
      <c r="AD744" s="168"/>
      <c r="AE744" s="168"/>
      <c r="AF744" s="168"/>
      <c r="AG744" s="168"/>
      <c r="AH744" s="26"/>
      <c r="AI744" s="26"/>
      <c r="AJ744" s="26"/>
      <c r="AK744" s="27"/>
    </row>
    <row r="745" spans="5:37" s="169" customFormat="1" ht="14.35" x14ac:dyDescent="0.5">
      <c r="E745" s="168"/>
      <c r="F745" s="184"/>
      <c r="G745" s="168"/>
      <c r="H745" s="174"/>
      <c r="I745" s="183"/>
      <c r="J745" s="174"/>
      <c r="K745" s="174"/>
      <c r="L745" s="26"/>
      <c r="M745" s="26"/>
      <c r="N745" s="26"/>
      <c r="O745" s="182"/>
      <c r="P745" s="181"/>
      <c r="Q745" s="175"/>
      <c r="R745" s="175"/>
      <c r="S745" s="175"/>
      <c r="T745" s="175"/>
      <c r="Y745" s="168"/>
      <c r="Z745" s="26"/>
      <c r="AA745" s="168"/>
      <c r="AB745" s="26"/>
      <c r="AC745" s="168"/>
      <c r="AD745" s="168"/>
      <c r="AE745" s="168"/>
      <c r="AF745" s="168"/>
      <c r="AG745" s="168"/>
      <c r="AH745" s="26"/>
      <c r="AI745" s="26"/>
      <c r="AJ745" s="26"/>
      <c r="AK745" s="27"/>
    </row>
    <row r="746" spans="5:37" s="169" customFormat="1" ht="14.35" x14ac:dyDescent="0.5">
      <c r="E746" s="168"/>
      <c r="F746" s="184"/>
      <c r="G746" s="168"/>
      <c r="H746" s="174"/>
      <c r="I746" s="183"/>
      <c r="J746" s="174"/>
      <c r="K746" s="174"/>
      <c r="L746" s="26"/>
      <c r="M746" s="26"/>
      <c r="N746" s="26"/>
      <c r="O746" s="180"/>
      <c r="P746" s="181"/>
      <c r="Q746" s="175"/>
      <c r="R746" s="175"/>
      <c r="S746" s="175"/>
      <c r="T746" s="175"/>
      <c r="Y746" s="168"/>
      <c r="Z746" s="26"/>
      <c r="AA746" s="168"/>
      <c r="AB746" s="26"/>
      <c r="AC746" s="168"/>
      <c r="AD746" s="168"/>
      <c r="AE746" s="168"/>
      <c r="AF746" s="168"/>
      <c r="AG746" s="168"/>
      <c r="AH746" s="26"/>
      <c r="AI746" s="26"/>
      <c r="AJ746" s="26"/>
      <c r="AK746" s="27"/>
    </row>
    <row r="747" spans="5:37" s="169" customFormat="1" ht="14.35" x14ac:dyDescent="0.5">
      <c r="E747" s="185"/>
      <c r="F747" s="184"/>
      <c r="G747" s="170"/>
      <c r="H747" s="171"/>
      <c r="I747" s="172"/>
      <c r="J747" s="173"/>
      <c r="K747" s="174"/>
      <c r="L747" s="26"/>
      <c r="M747" s="26"/>
      <c r="N747" s="26"/>
      <c r="O747" s="180"/>
      <c r="P747" s="181"/>
      <c r="Q747" s="175"/>
      <c r="R747" s="175"/>
      <c r="S747" s="175"/>
      <c r="T747" s="175"/>
      <c r="Y747" s="168"/>
      <c r="Z747" s="26"/>
      <c r="AA747" s="168"/>
      <c r="AB747" s="26"/>
      <c r="AC747" s="168"/>
      <c r="AD747" s="168"/>
      <c r="AE747" s="168"/>
      <c r="AF747" s="168"/>
      <c r="AG747" s="168"/>
      <c r="AH747" s="26"/>
      <c r="AI747" s="26"/>
      <c r="AJ747" s="26"/>
      <c r="AK747" s="27"/>
    </row>
    <row r="748" spans="5:37" s="169" customFormat="1" ht="14.35" x14ac:dyDescent="0.5">
      <c r="E748" s="185"/>
      <c r="F748" s="184"/>
      <c r="G748" s="170"/>
      <c r="H748" s="171"/>
      <c r="I748" s="172"/>
      <c r="J748" s="173"/>
      <c r="K748" s="174"/>
      <c r="L748" s="26"/>
      <c r="M748" s="26"/>
      <c r="N748" s="26"/>
      <c r="O748" s="180"/>
      <c r="P748" s="181"/>
      <c r="Q748" s="175"/>
      <c r="R748" s="175"/>
      <c r="S748" s="175"/>
      <c r="T748" s="175"/>
      <c r="Y748" s="168"/>
      <c r="Z748" s="26"/>
      <c r="AA748" s="168"/>
      <c r="AB748" s="26"/>
      <c r="AC748" s="168"/>
      <c r="AD748" s="168"/>
      <c r="AE748" s="168"/>
      <c r="AF748" s="168"/>
      <c r="AG748" s="168"/>
      <c r="AH748" s="26"/>
      <c r="AI748" s="26"/>
      <c r="AJ748" s="26"/>
      <c r="AK748" s="27"/>
    </row>
    <row r="749" spans="5:37" s="169" customFormat="1" ht="14.35" x14ac:dyDescent="0.5">
      <c r="E749" s="185"/>
      <c r="F749" s="184"/>
      <c r="G749" s="170"/>
      <c r="H749" s="171"/>
      <c r="I749" s="172"/>
      <c r="J749" s="173"/>
      <c r="K749" s="174"/>
      <c r="L749" s="26"/>
      <c r="M749" s="26"/>
      <c r="N749" s="26"/>
      <c r="O749" s="182"/>
      <c r="P749" s="181"/>
      <c r="Q749" s="175"/>
      <c r="R749" s="175"/>
      <c r="S749" s="175"/>
      <c r="T749" s="175"/>
      <c r="V749" s="176"/>
      <c r="Y749" s="168"/>
      <c r="Z749" s="26"/>
      <c r="AA749" s="168"/>
      <c r="AB749" s="26"/>
      <c r="AC749" s="168"/>
      <c r="AD749" s="168"/>
      <c r="AE749" s="168"/>
      <c r="AF749" s="168"/>
      <c r="AG749" s="168"/>
      <c r="AH749" s="26"/>
      <c r="AI749" s="26"/>
      <c r="AJ749" s="26"/>
      <c r="AK749" s="27"/>
    </row>
    <row r="750" spans="5:37" s="169" customFormat="1" ht="14.35" x14ac:dyDescent="0.5">
      <c r="E750" s="185"/>
      <c r="F750" s="184"/>
      <c r="G750" s="170"/>
      <c r="H750" s="171"/>
      <c r="I750" s="172"/>
      <c r="J750" s="173"/>
      <c r="K750" s="174"/>
      <c r="L750" s="26"/>
      <c r="M750" s="26"/>
      <c r="N750" s="26"/>
      <c r="O750" s="180"/>
      <c r="P750" s="181"/>
      <c r="Q750" s="175"/>
      <c r="R750" s="175"/>
      <c r="S750" s="175"/>
      <c r="T750" s="175"/>
      <c r="V750" s="176"/>
      <c r="Y750" s="168"/>
      <c r="Z750" s="26"/>
      <c r="AA750" s="168"/>
      <c r="AB750" s="26"/>
      <c r="AC750" s="168"/>
      <c r="AD750" s="168"/>
      <c r="AE750" s="168"/>
      <c r="AF750" s="168"/>
      <c r="AG750" s="168"/>
      <c r="AH750" s="26"/>
      <c r="AI750" s="26"/>
      <c r="AJ750" s="26"/>
      <c r="AK750" s="27"/>
    </row>
    <row r="751" spans="5:37" s="169" customFormat="1" ht="14.35" x14ac:dyDescent="0.5">
      <c r="E751" s="185"/>
      <c r="F751" s="184"/>
      <c r="G751" s="170"/>
      <c r="H751" s="171"/>
      <c r="I751" s="172"/>
      <c r="J751" s="173"/>
      <c r="K751" s="174"/>
      <c r="L751" s="26"/>
      <c r="M751" s="26"/>
      <c r="N751" s="26"/>
      <c r="O751" s="180"/>
      <c r="P751" s="181"/>
      <c r="Q751" s="175"/>
      <c r="R751" s="175"/>
      <c r="S751" s="175"/>
      <c r="T751" s="175"/>
      <c r="V751" s="176"/>
      <c r="Y751" s="168"/>
      <c r="Z751" s="26"/>
      <c r="AA751" s="168"/>
      <c r="AB751" s="26"/>
      <c r="AC751" s="168"/>
      <c r="AD751" s="168"/>
      <c r="AE751" s="168"/>
      <c r="AF751" s="168"/>
      <c r="AG751" s="168"/>
      <c r="AH751" s="26"/>
      <c r="AI751" s="26"/>
      <c r="AJ751" s="26"/>
      <c r="AK751" s="27"/>
    </row>
    <row r="752" spans="5:37" s="169" customFormat="1" ht="14.35" x14ac:dyDescent="0.5">
      <c r="E752" s="185"/>
      <c r="F752" s="184"/>
      <c r="G752" s="170"/>
      <c r="H752" s="171"/>
      <c r="I752" s="172"/>
      <c r="J752" s="173"/>
      <c r="K752" s="174"/>
      <c r="L752" s="26"/>
      <c r="M752" s="26"/>
      <c r="N752" s="26"/>
      <c r="O752" s="182"/>
      <c r="P752" s="181"/>
      <c r="Q752" s="175"/>
      <c r="R752" s="175"/>
      <c r="S752" s="175"/>
      <c r="T752" s="175"/>
      <c r="V752" s="176"/>
      <c r="Y752" s="168"/>
      <c r="Z752" s="26"/>
      <c r="AA752" s="168"/>
      <c r="AB752" s="26"/>
      <c r="AC752" s="168"/>
      <c r="AD752" s="168"/>
      <c r="AE752" s="168"/>
      <c r="AF752" s="168"/>
      <c r="AG752" s="168"/>
      <c r="AH752" s="26"/>
      <c r="AI752" s="26"/>
      <c r="AJ752" s="26"/>
      <c r="AK752" s="27"/>
    </row>
    <row r="753" spans="5:37" s="169" customFormat="1" ht="14.35" x14ac:dyDescent="0.5">
      <c r="E753" s="168"/>
      <c r="F753" s="168"/>
      <c r="G753" s="168"/>
      <c r="H753" s="174"/>
      <c r="I753" s="183"/>
      <c r="J753" s="174"/>
      <c r="K753" s="174"/>
      <c r="L753" s="26"/>
      <c r="M753" s="26"/>
      <c r="N753" s="26"/>
      <c r="O753" s="180"/>
      <c r="P753" s="181"/>
      <c r="Q753" s="175"/>
      <c r="R753" s="175"/>
      <c r="S753" s="175"/>
      <c r="T753" s="175"/>
      <c r="V753" s="176"/>
      <c r="Y753" s="168"/>
      <c r="Z753" s="26"/>
      <c r="AA753" s="168"/>
      <c r="AB753" s="26"/>
      <c r="AC753" s="168"/>
      <c r="AD753" s="168"/>
      <c r="AE753" s="168"/>
      <c r="AF753" s="168"/>
      <c r="AG753" s="168"/>
      <c r="AH753" s="26"/>
      <c r="AI753" s="26"/>
      <c r="AJ753" s="26"/>
      <c r="AK753" s="27"/>
    </row>
    <row r="754" spans="5:37" s="169" customFormat="1" ht="14.35" x14ac:dyDescent="0.5">
      <c r="E754" s="168"/>
      <c r="F754" s="168"/>
      <c r="G754" s="168"/>
      <c r="H754" s="174"/>
      <c r="I754" s="183"/>
      <c r="J754" s="174"/>
      <c r="K754" s="174"/>
      <c r="L754" s="26"/>
      <c r="M754" s="26"/>
      <c r="N754" s="26"/>
      <c r="O754" s="180"/>
      <c r="P754" s="181"/>
      <c r="Q754" s="175"/>
      <c r="R754" s="175"/>
      <c r="S754" s="175"/>
      <c r="T754" s="175"/>
      <c r="V754" s="176"/>
      <c r="Y754" s="168"/>
      <c r="Z754" s="26"/>
      <c r="AA754" s="168"/>
      <c r="AB754" s="26"/>
      <c r="AC754" s="168"/>
      <c r="AD754" s="168"/>
      <c r="AE754" s="168"/>
      <c r="AF754" s="168"/>
      <c r="AG754" s="168"/>
      <c r="AH754" s="26"/>
      <c r="AI754" s="26"/>
      <c r="AJ754" s="26"/>
      <c r="AK754" s="27"/>
    </row>
    <row r="755" spans="5:37" s="169" customFormat="1" ht="14.35" x14ac:dyDescent="0.5">
      <c r="E755" s="168"/>
      <c r="F755" s="168"/>
      <c r="G755" s="168"/>
      <c r="H755" s="174"/>
      <c r="I755" s="183"/>
      <c r="J755" s="174"/>
      <c r="K755" s="174"/>
      <c r="L755" s="26"/>
      <c r="M755" s="26"/>
      <c r="N755" s="26"/>
      <c r="O755" s="182"/>
      <c r="P755" s="181"/>
      <c r="Q755" s="175"/>
      <c r="R755" s="175"/>
      <c r="S755" s="175"/>
      <c r="T755" s="175"/>
      <c r="V755" s="176"/>
      <c r="Y755" s="168"/>
      <c r="Z755" s="26"/>
      <c r="AA755" s="168"/>
      <c r="AB755" s="26"/>
      <c r="AC755" s="168"/>
      <c r="AD755" s="168"/>
      <c r="AE755" s="168"/>
      <c r="AF755" s="168"/>
      <c r="AG755" s="168"/>
      <c r="AH755" s="26"/>
      <c r="AI755" s="26"/>
      <c r="AJ755" s="26"/>
      <c r="AK755" s="27"/>
    </row>
    <row r="756" spans="5:37" s="169" customFormat="1" ht="14.35" x14ac:dyDescent="0.5">
      <c r="E756" s="168"/>
      <c r="F756" s="168"/>
      <c r="G756" s="168"/>
      <c r="H756" s="174"/>
      <c r="I756" s="183"/>
      <c r="J756" s="174"/>
      <c r="K756" s="174"/>
      <c r="L756" s="26"/>
      <c r="M756" s="26"/>
      <c r="N756" s="26"/>
      <c r="O756" s="180"/>
      <c r="P756" s="181"/>
      <c r="Q756" s="175"/>
      <c r="R756" s="175"/>
      <c r="S756" s="175"/>
      <c r="T756" s="175"/>
      <c r="V756" s="176"/>
      <c r="Y756" s="168"/>
      <c r="Z756" s="26"/>
      <c r="AA756" s="168"/>
      <c r="AB756" s="26"/>
      <c r="AC756" s="168"/>
      <c r="AD756" s="168"/>
      <c r="AE756" s="168"/>
      <c r="AF756" s="168"/>
      <c r="AG756" s="168"/>
      <c r="AH756" s="26"/>
      <c r="AI756" s="26"/>
      <c r="AJ756" s="26"/>
      <c r="AK756" s="27"/>
    </row>
    <row r="757" spans="5:37" s="169" customFormat="1" ht="14.35" x14ac:dyDescent="0.5">
      <c r="E757" s="168"/>
      <c r="F757" s="168"/>
      <c r="G757" s="168"/>
      <c r="H757" s="174"/>
      <c r="I757" s="183"/>
      <c r="J757" s="174"/>
      <c r="K757" s="174"/>
      <c r="L757" s="26"/>
      <c r="M757" s="26"/>
      <c r="N757" s="26"/>
      <c r="O757" s="182"/>
      <c r="P757" s="181"/>
      <c r="Q757" s="175"/>
      <c r="R757" s="175"/>
      <c r="S757" s="175"/>
      <c r="T757" s="175"/>
      <c r="V757" s="176"/>
      <c r="Y757" s="168"/>
      <c r="Z757" s="26"/>
      <c r="AA757" s="168"/>
      <c r="AB757" s="26"/>
      <c r="AC757" s="168"/>
      <c r="AD757" s="168"/>
      <c r="AE757" s="168"/>
      <c r="AF757" s="168"/>
      <c r="AG757" s="168"/>
      <c r="AH757" s="26"/>
      <c r="AI757" s="26"/>
      <c r="AJ757" s="26"/>
      <c r="AK757" s="27"/>
    </row>
    <row r="758" spans="5:37" s="169" customFormat="1" ht="14.35" x14ac:dyDescent="0.5">
      <c r="E758" s="168"/>
      <c r="F758" s="168"/>
      <c r="G758" s="168"/>
      <c r="H758" s="174"/>
      <c r="I758" s="183"/>
      <c r="J758" s="174"/>
      <c r="K758" s="174"/>
      <c r="L758" s="26"/>
      <c r="M758" s="26"/>
      <c r="N758" s="26"/>
      <c r="O758" s="180"/>
      <c r="P758" s="181"/>
      <c r="Q758" s="175"/>
      <c r="R758" s="175"/>
      <c r="S758" s="175"/>
      <c r="T758" s="175"/>
      <c r="V758" s="176"/>
      <c r="Y758" s="168"/>
      <c r="Z758" s="26"/>
      <c r="AA758" s="168"/>
      <c r="AB758" s="26"/>
      <c r="AC758" s="168"/>
      <c r="AD758" s="168"/>
      <c r="AE758" s="168"/>
      <c r="AF758" s="168"/>
      <c r="AG758" s="168"/>
      <c r="AH758" s="26"/>
      <c r="AI758" s="26"/>
      <c r="AJ758" s="26"/>
      <c r="AK758" s="27"/>
    </row>
    <row r="759" spans="5:37" s="169" customFormat="1" ht="14.35" x14ac:dyDescent="0.5">
      <c r="E759" s="168"/>
      <c r="F759" s="168"/>
      <c r="G759" s="168"/>
      <c r="H759" s="174"/>
      <c r="I759" s="183"/>
      <c r="J759" s="174"/>
      <c r="K759" s="174"/>
      <c r="L759" s="26"/>
      <c r="M759" s="26"/>
      <c r="N759" s="26"/>
      <c r="O759" s="182"/>
      <c r="P759" s="181"/>
      <c r="Q759" s="175"/>
      <c r="R759" s="175"/>
      <c r="S759" s="175"/>
      <c r="T759" s="175"/>
      <c r="V759" s="176"/>
      <c r="Y759" s="168"/>
      <c r="Z759" s="26"/>
      <c r="AA759" s="168"/>
      <c r="AB759" s="26"/>
      <c r="AC759" s="168"/>
      <c r="AD759" s="168"/>
      <c r="AE759" s="168"/>
      <c r="AF759" s="168"/>
      <c r="AG759" s="168"/>
      <c r="AH759" s="26"/>
      <c r="AI759" s="26"/>
      <c r="AJ759" s="26"/>
      <c r="AK759" s="27"/>
    </row>
    <row r="760" spans="5:37" s="169" customFormat="1" ht="14.35" x14ac:dyDescent="0.5">
      <c r="E760" s="168"/>
      <c r="F760" s="168"/>
      <c r="G760" s="168"/>
      <c r="H760" s="174"/>
      <c r="I760" s="183"/>
      <c r="J760" s="174"/>
      <c r="K760" s="174"/>
      <c r="L760" s="26"/>
      <c r="M760" s="26"/>
      <c r="N760" s="26"/>
      <c r="O760" s="180"/>
      <c r="P760" s="181"/>
      <c r="Q760" s="175"/>
      <c r="R760" s="175"/>
      <c r="S760" s="175"/>
      <c r="T760" s="175"/>
      <c r="V760" s="176"/>
      <c r="Y760" s="168"/>
      <c r="Z760" s="26"/>
      <c r="AA760" s="168"/>
      <c r="AB760" s="26"/>
      <c r="AC760" s="168"/>
      <c r="AD760" s="168"/>
      <c r="AE760" s="168"/>
      <c r="AF760" s="168"/>
      <c r="AG760" s="168"/>
      <c r="AH760" s="26"/>
      <c r="AI760" s="26"/>
      <c r="AJ760" s="26"/>
      <c r="AK760" s="27"/>
    </row>
    <row r="761" spans="5:37" s="169" customFormat="1" ht="14.35" x14ac:dyDescent="0.5">
      <c r="E761" s="168"/>
      <c r="F761" s="168"/>
      <c r="G761" s="168"/>
      <c r="H761" s="174"/>
      <c r="I761" s="183"/>
      <c r="J761" s="174"/>
      <c r="K761" s="174"/>
      <c r="L761" s="26"/>
      <c r="M761" s="26"/>
      <c r="N761" s="26"/>
      <c r="O761" s="182"/>
      <c r="P761" s="181"/>
      <c r="Q761" s="175"/>
      <c r="R761" s="175"/>
      <c r="S761" s="175"/>
      <c r="T761" s="175"/>
      <c r="V761" s="176"/>
      <c r="Y761" s="168"/>
      <c r="Z761" s="26"/>
      <c r="AA761" s="168"/>
      <c r="AB761" s="26"/>
      <c r="AC761" s="168"/>
      <c r="AD761" s="168"/>
      <c r="AE761" s="168"/>
      <c r="AF761" s="168"/>
      <c r="AG761" s="168"/>
      <c r="AH761" s="26"/>
      <c r="AI761" s="26"/>
      <c r="AJ761" s="26"/>
      <c r="AK761" s="27"/>
    </row>
    <row r="762" spans="5:37" s="169" customFormat="1" ht="14.35" x14ac:dyDescent="0.5">
      <c r="E762" s="168"/>
      <c r="F762" s="168"/>
      <c r="G762" s="168"/>
      <c r="H762" s="174"/>
      <c r="I762" s="183"/>
      <c r="J762" s="174"/>
      <c r="K762" s="174"/>
      <c r="L762" s="26"/>
      <c r="M762" s="26"/>
      <c r="N762" s="26"/>
      <c r="O762" s="180"/>
      <c r="P762" s="181"/>
      <c r="Q762" s="175"/>
      <c r="R762" s="175"/>
      <c r="S762" s="175"/>
      <c r="T762" s="175"/>
      <c r="V762" s="176"/>
      <c r="Y762" s="168"/>
      <c r="Z762" s="26"/>
      <c r="AA762" s="168"/>
      <c r="AB762" s="26"/>
      <c r="AC762" s="168"/>
      <c r="AD762" s="168"/>
      <c r="AE762" s="168"/>
      <c r="AF762" s="168"/>
      <c r="AG762" s="168"/>
      <c r="AH762" s="26"/>
      <c r="AI762" s="26"/>
      <c r="AJ762" s="26"/>
      <c r="AK762" s="27"/>
    </row>
    <row r="763" spans="5:37" s="169" customFormat="1" ht="14.35" x14ac:dyDescent="0.5">
      <c r="E763" s="168"/>
      <c r="F763" s="168"/>
      <c r="G763" s="168"/>
      <c r="H763" s="174"/>
      <c r="I763" s="183"/>
      <c r="J763" s="174"/>
      <c r="K763" s="174"/>
      <c r="L763" s="26"/>
      <c r="M763" s="26"/>
      <c r="N763" s="26"/>
      <c r="O763" s="182"/>
      <c r="P763" s="181"/>
      <c r="Q763" s="175"/>
      <c r="R763" s="175"/>
      <c r="S763" s="175"/>
      <c r="T763" s="175"/>
      <c r="V763" s="176"/>
      <c r="Y763" s="168"/>
      <c r="Z763" s="26"/>
      <c r="AA763" s="168"/>
      <c r="AB763" s="26"/>
      <c r="AC763" s="168"/>
      <c r="AD763" s="168"/>
      <c r="AE763" s="168"/>
      <c r="AF763" s="168"/>
      <c r="AG763" s="168"/>
      <c r="AH763" s="26"/>
      <c r="AI763" s="26"/>
      <c r="AJ763" s="26"/>
      <c r="AK763" s="27"/>
    </row>
    <row r="764" spans="5:37" s="169" customFormat="1" ht="14.35" x14ac:dyDescent="0.5">
      <c r="E764" s="168"/>
      <c r="F764" s="168"/>
      <c r="G764" s="168"/>
      <c r="H764" s="174"/>
      <c r="I764" s="183"/>
      <c r="J764" s="174"/>
      <c r="K764" s="174"/>
      <c r="L764" s="26"/>
      <c r="M764" s="26"/>
      <c r="N764" s="26"/>
      <c r="O764" s="176"/>
      <c r="P764" s="176"/>
      <c r="Q764" s="175"/>
      <c r="R764" s="175"/>
      <c r="S764" s="175"/>
      <c r="T764" s="175"/>
      <c r="V764" s="176"/>
      <c r="Y764" s="168"/>
      <c r="Z764" s="26"/>
      <c r="AA764" s="168"/>
      <c r="AB764" s="26"/>
      <c r="AC764" s="168"/>
      <c r="AD764" s="168"/>
      <c r="AE764" s="168"/>
      <c r="AF764" s="168"/>
      <c r="AG764" s="168"/>
      <c r="AH764" s="26"/>
      <c r="AI764" s="26"/>
      <c r="AJ764" s="26"/>
      <c r="AK764" s="27"/>
    </row>
    <row r="765" spans="5:37" s="169" customFormat="1" ht="14.35" x14ac:dyDescent="0.5">
      <c r="E765" s="168"/>
      <c r="F765" s="168"/>
      <c r="G765" s="168"/>
      <c r="H765" s="174"/>
      <c r="I765" s="183"/>
      <c r="J765" s="174"/>
      <c r="K765" s="174"/>
      <c r="L765" s="26"/>
      <c r="M765" s="26"/>
      <c r="N765" s="26"/>
      <c r="O765" s="176"/>
      <c r="P765" s="176"/>
      <c r="Q765" s="175"/>
      <c r="R765" s="175"/>
      <c r="S765" s="175"/>
      <c r="T765" s="175"/>
      <c r="V765" s="176"/>
      <c r="Y765" s="168"/>
      <c r="Z765" s="26"/>
      <c r="AA765" s="168"/>
      <c r="AB765" s="26"/>
      <c r="AC765" s="168"/>
      <c r="AD765" s="168"/>
      <c r="AE765" s="168"/>
      <c r="AF765" s="168"/>
      <c r="AG765" s="168"/>
      <c r="AH765" s="26"/>
      <c r="AI765" s="26"/>
      <c r="AJ765" s="26"/>
      <c r="AK765" s="27"/>
    </row>
    <row r="766" spans="5:37" s="169" customFormat="1" ht="14.35" x14ac:dyDescent="0.5">
      <c r="E766" s="168"/>
      <c r="F766" s="168"/>
      <c r="G766" s="168"/>
      <c r="H766" s="174"/>
      <c r="I766" s="183"/>
      <c r="J766" s="174"/>
      <c r="K766" s="174"/>
      <c r="L766" s="26"/>
      <c r="M766" s="26"/>
      <c r="N766" s="26"/>
      <c r="O766" s="176"/>
      <c r="P766" s="176"/>
      <c r="Q766" s="175"/>
      <c r="R766" s="175"/>
      <c r="S766" s="175"/>
      <c r="T766" s="175"/>
      <c r="V766" s="176"/>
      <c r="Y766" s="168"/>
      <c r="Z766" s="26"/>
      <c r="AA766" s="168"/>
      <c r="AB766" s="26"/>
      <c r="AC766" s="168"/>
      <c r="AD766" s="168"/>
      <c r="AE766" s="168"/>
      <c r="AF766" s="168"/>
      <c r="AG766" s="168"/>
      <c r="AH766" s="26"/>
      <c r="AI766" s="26"/>
      <c r="AJ766" s="26"/>
      <c r="AK766" s="27"/>
    </row>
    <row r="767" spans="5:37" s="169" customFormat="1" ht="14.35" x14ac:dyDescent="0.5">
      <c r="E767" s="168"/>
      <c r="F767" s="168"/>
      <c r="G767" s="168"/>
      <c r="H767" s="174"/>
      <c r="I767" s="183"/>
      <c r="J767" s="174"/>
      <c r="K767" s="174"/>
      <c r="L767" s="26"/>
      <c r="M767" s="26"/>
      <c r="N767" s="26"/>
      <c r="O767" s="176"/>
      <c r="P767" s="176"/>
      <c r="Q767" s="175"/>
      <c r="R767" s="175"/>
      <c r="S767" s="175"/>
      <c r="T767" s="175"/>
      <c r="V767" s="176"/>
      <c r="Y767" s="168"/>
      <c r="Z767" s="26"/>
      <c r="AA767" s="168"/>
      <c r="AB767" s="26"/>
      <c r="AC767" s="168"/>
      <c r="AD767" s="168"/>
      <c r="AE767" s="168"/>
      <c r="AF767" s="168"/>
      <c r="AG767" s="168"/>
      <c r="AH767" s="26"/>
      <c r="AI767" s="26"/>
      <c r="AJ767" s="26"/>
      <c r="AK767" s="27"/>
    </row>
    <row r="768" spans="5:37" s="169" customFormat="1" ht="14.35" x14ac:dyDescent="0.5">
      <c r="E768" s="168"/>
      <c r="F768" s="168"/>
      <c r="G768" s="168"/>
      <c r="H768" s="174"/>
      <c r="I768" s="183"/>
      <c r="J768" s="174"/>
      <c r="K768" s="174"/>
      <c r="L768" s="26"/>
      <c r="M768" s="26"/>
      <c r="N768" s="26"/>
      <c r="O768" s="176"/>
      <c r="P768" s="176"/>
      <c r="Q768" s="175"/>
      <c r="R768" s="175"/>
      <c r="S768" s="175"/>
      <c r="T768" s="175"/>
      <c r="V768" s="176"/>
      <c r="Y768" s="168"/>
      <c r="Z768" s="26"/>
      <c r="AA768" s="168"/>
      <c r="AB768" s="26"/>
      <c r="AC768" s="168"/>
      <c r="AD768" s="168"/>
      <c r="AE768" s="168"/>
      <c r="AF768" s="168"/>
      <c r="AG768" s="168"/>
      <c r="AH768" s="26"/>
      <c r="AI768" s="26"/>
      <c r="AJ768" s="26"/>
      <c r="AK768" s="27"/>
    </row>
    <row r="769" spans="5:37" s="169" customFormat="1" ht="14.35" x14ac:dyDescent="0.5">
      <c r="E769" s="168"/>
      <c r="F769" s="168"/>
      <c r="G769" s="168"/>
      <c r="H769" s="174"/>
      <c r="I769" s="183"/>
      <c r="J769" s="174"/>
      <c r="K769" s="174"/>
      <c r="L769" s="26"/>
      <c r="M769" s="26"/>
      <c r="N769" s="26"/>
      <c r="O769" s="26"/>
      <c r="P769" s="175"/>
      <c r="Q769" s="175"/>
      <c r="R769" s="175"/>
      <c r="S769" s="175"/>
      <c r="T769" s="175"/>
      <c r="V769" s="176"/>
      <c r="Y769" s="168"/>
      <c r="Z769" s="26"/>
      <c r="AA769" s="168"/>
      <c r="AB769" s="26"/>
      <c r="AC769" s="168"/>
      <c r="AD769" s="168"/>
      <c r="AE769" s="168"/>
      <c r="AF769" s="168"/>
      <c r="AG769" s="168"/>
      <c r="AH769" s="26"/>
      <c r="AI769" s="26"/>
      <c r="AJ769" s="26"/>
      <c r="AK769" s="27"/>
    </row>
    <row r="770" spans="5:37" s="169" customFormat="1" ht="14.35" x14ac:dyDescent="0.5">
      <c r="E770" s="168"/>
      <c r="F770" s="168"/>
      <c r="G770" s="168"/>
      <c r="H770" s="174"/>
      <c r="I770" s="183"/>
      <c r="J770" s="174"/>
      <c r="K770" s="174"/>
      <c r="L770" s="26"/>
      <c r="M770" s="26"/>
      <c r="N770" s="26"/>
      <c r="O770" s="26"/>
      <c r="P770" s="175"/>
      <c r="Q770" s="175"/>
      <c r="R770" s="175"/>
      <c r="S770" s="175"/>
      <c r="T770" s="175"/>
      <c r="V770" s="176"/>
      <c r="Y770" s="168"/>
      <c r="Z770" s="26"/>
      <c r="AA770" s="168"/>
      <c r="AB770" s="26"/>
      <c r="AC770" s="168"/>
      <c r="AD770" s="168"/>
      <c r="AE770" s="168"/>
      <c r="AF770" s="168"/>
      <c r="AG770" s="168"/>
      <c r="AH770" s="26"/>
      <c r="AI770" s="26"/>
      <c r="AJ770" s="26"/>
      <c r="AK770" s="27"/>
    </row>
    <row r="771" spans="5:37" s="169" customFormat="1" ht="14.35" x14ac:dyDescent="0.5">
      <c r="E771" s="168"/>
      <c r="F771" s="168"/>
      <c r="G771" s="168"/>
      <c r="H771" s="174"/>
      <c r="I771" s="183"/>
      <c r="J771" s="174"/>
      <c r="K771" s="174"/>
      <c r="L771" s="26"/>
      <c r="M771" s="26"/>
      <c r="N771" s="26"/>
      <c r="O771" s="26"/>
      <c r="P771" s="175"/>
      <c r="Q771" s="175"/>
      <c r="R771" s="175"/>
      <c r="S771" s="175"/>
      <c r="T771" s="175"/>
      <c r="V771" s="176"/>
      <c r="Y771" s="168"/>
      <c r="Z771" s="26"/>
      <c r="AA771" s="168"/>
      <c r="AB771" s="26"/>
      <c r="AC771" s="168"/>
      <c r="AD771" s="168"/>
      <c r="AE771" s="168"/>
      <c r="AF771" s="168"/>
      <c r="AG771" s="168"/>
      <c r="AH771" s="26"/>
      <c r="AI771" s="26"/>
      <c r="AJ771" s="26"/>
      <c r="AK771" s="27"/>
    </row>
    <row r="772" spans="5:37" s="169" customFormat="1" ht="14.35" x14ac:dyDescent="0.5">
      <c r="E772" s="168"/>
      <c r="F772" s="168"/>
      <c r="G772" s="168"/>
      <c r="H772" s="174"/>
      <c r="I772" s="183"/>
      <c r="J772" s="174"/>
      <c r="K772" s="174"/>
      <c r="L772" s="26"/>
      <c r="M772" s="26"/>
      <c r="N772" s="26"/>
      <c r="O772" s="26"/>
      <c r="P772" s="175"/>
      <c r="Q772" s="175"/>
      <c r="R772" s="175"/>
      <c r="S772" s="175"/>
      <c r="T772" s="175"/>
      <c r="V772" s="176"/>
      <c r="Y772" s="168"/>
      <c r="Z772" s="26"/>
      <c r="AA772" s="168"/>
      <c r="AB772" s="26"/>
      <c r="AC772" s="168"/>
      <c r="AD772" s="168"/>
      <c r="AE772" s="168"/>
      <c r="AF772" s="168"/>
      <c r="AG772" s="168"/>
      <c r="AH772" s="26"/>
      <c r="AI772" s="26"/>
      <c r="AJ772" s="26"/>
      <c r="AK772" s="27"/>
    </row>
    <row r="773" spans="5:37" s="169" customFormat="1" ht="14.35" x14ac:dyDescent="0.5">
      <c r="E773" s="168"/>
      <c r="F773" s="168"/>
      <c r="G773" s="168"/>
      <c r="H773" s="174"/>
      <c r="I773" s="183"/>
      <c r="J773" s="174"/>
      <c r="K773" s="174"/>
      <c r="L773" s="26"/>
      <c r="M773" s="26"/>
      <c r="N773" s="26"/>
      <c r="O773" s="26"/>
      <c r="P773" s="175"/>
      <c r="Q773" s="175"/>
      <c r="R773" s="175"/>
      <c r="S773" s="175"/>
      <c r="T773" s="175"/>
      <c r="V773" s="176"/>
      <c r="Y773" s="168"/>
      <c r="Z773" s="26"/>
      <c r="AA773" s="168"/>
      <c r="AB773" s="26"/>
      <c r="AC773" s="168"/>
      <c r="AD773" s="168"/>
      <c r="AE773" s="168"/>
      <c r="AF773" s="168"/>
      <c r="AG773" s="168"/>
      <c r="AH773" s="26"/>
      <c r="AI773" s="26"/>
      <c r="AJ773" s="26"/>
      <c r="AK773" s="27"/>
    </row>
    <row r="774" spans="5:37" s="169" customFormat="1" ht="14.35" x14ac:dyDescent="0.5">
      <c r="E774" s="168"/>
      <c r="F774" s="168"/>
      <c r="G774" s="168"/>
      <c r="H774" s="174"/>
      <c r="I774" s="183"/>
      <c r="J774" s="174"/>
      <c r="K774" s="174"/>
      <c r="L774" s="26"/>
      <c r="M774" s="26"/>
      <c r="N774" s="26"/>
      <c r="O774" s="26"/>
      <c r="P774" s="175"/>
      <c r="Q774" s="175"/>
      <c r="R774" s="175"/>
      <c r="S774" s="175"/>
      <c r="T774" s="175"/>
      <c r="V774" s="176"/>
      <c r="Y774" s="168"/>
      <c r="Z774" s="26"/>
      <c r="AA774" s="168"/>
      <c r="AB774" s="26"/>
      <c r="AC774" s="168"/>
      <c r="AD774" s="168"/>
      <c r="AE774" s="168"/>
      <c r="AF774" s="168"/>
      <c r="AG774" s="168"/>
      <c r="AH774" s="26"/>
      <c r="AI774" s="26"/>
      <c r="AJ774" s="26"/>
      <c r="AK774" s="27"/>
    </row>
    <row r="775" spans="5:37" s="169" customFormat="1" ht="14.35" x14ac:dyDescent="0.5">
      <c r="E775" s="168"/>
      <c r="F775" s="168"/>
      <c r="G775" s="168"/>
      <c r="H775" s="174"/>
      <c r="I775" s="183"/>
      <c r="J775" s="174"/>
      <c r="K775" s="174"/>
      <c r="L775" s="26"/>
      <c r="M775" s="26"/>
      <c r="N775" s="26"/>
      <c r="O775" s="26"/>
      <c r="P775" s="175"/>
      <c r="Q775" s="175"/>
      <c r="R775" s="175"/>
      <c r="S775" s="175"/>
      <c r="T775" s="175"/>
      <c r="V775" s="176"/>
      <c r="Y775" s="168"/>
      <c r="Z775" s="26"/>
      <c r="AA775" s="168"/>
      <c r="AB775" s="26"/>
      <c r="AC775" s="168"/>
      <c r="AD775" s="168"/>
      <c r="AE775" s="168"/>
      <c r="AF775" s="168"/>
      <c r="AG775" s="168"/>
      <c r="AH775" s="26"/>
      <c r="AI775" s="26"/>
      <c r="AJ775" s="26"/>
      <c r="AK775" s="27"/>
    </row>
    <row r="776" spans="5:37" s="169" customFormat="1" ht="14.35" x14ac:dyDescent="0.5">
      <c r="E776" s="168"/>
      <c r="F776" s="168"/>
      <c r="G776" s="168"/>
      <c r="H776" s="174"/>
      <c r="I776" s="183"/>
      <c r="J776" s="174"/>
      <c r="K776" s="174"/>
      <c r="L776" s="26"/>
      <c r="M776" s="26"/>
      <c r="N776" s="26"/>
      <c r="O776" s="26"/>
      <c r="P776" s="175"/>
      <c r="Q776" s="175"/>
      <c r="R776" s="175"/>
      <c r="S776" s="175"/>
      <c r="T776" s="175"/>
      <c r="V776" s="176"/>
      <c r="Y776" s="168"/>
      <c r="Z776" s="26"/>
      <c r="AA776" s="168"/>
      <c r="AB776" s="26"/>
      <c r="AC776" s="168"/>
      <c r="AD776" s="168"/>
      <c r="AE776" s="168"/>
      <c r="AF776" s="168"/>
      <c r="AG776" s="168"/>
      <c r="AH776" s="26"/>
      <c r="AI776" s="26"/>
      <c r="AJ776" s="26"/>
      <c r="AK776" s="27"/>
    </row>
    <row r="777" spans="5:37" s="169" customFormat="1" ht="14.35" x14ac:dyDescent="0.5">
      <c r="E777" s="168"/>
      <c r="F777" s="168"/>
      <c r="G777" s="168"/>
      <c r="H777" s="174"/>
      <c r="I777" s="183"/>
      <c r="J777" s="174"/>
      <c r="K777" s="174"/>
      <c r="L777" s="26"/>
      <c r="M777" s="26"/>
      <c r="N777" s="26"/>
      <c r="O777" s="26"/>
      <c r="P777" s="175"/>
      <c r="Q777" s="175"/>
      <c r="R777" s="175"/>
      <c r="S777" s="175"/>
      <c r="T777" s="175"/>
      <c r="V777" s="176"/>
      <c r="Y777" s="168"/>
      <c r="Z777" s="26"/>
      <c r="AA777" s="168"/>
      <c r="AB777" s="26"/>
      <c r="AC777" s="168"/>
      <c r="AD777" s="168"/>
      <c r="AE777" s="168"/>
      <c r="AF777" s="168"/>
      <c r="AG777" s="168"/>
      <c r="AH777" s="26"/>
      <c r="AI777" s="26"/>
      <c r="AJ777" s="26"/>
      <c r="AK777" s="27"/>
    </row>
    <row r="778" spans="5:37" s="169" customFormat="1" ht="14.35" x14ac:dyDescent="0.5">
      <c r="E778" s="168"/>
      <c r="F778" s="168"/>
      <c r="G778" s="168"/>
      <c r="H778" s="174"/>
      <c r="I778" s="183"/>
      <c r="J778" s="174"/>
      <c r="K778" s="174"/>
      <c r="L778" s="26"/>
      <c r="M778" s="26"/>
      <c r="N778" s="26"/>
      <c r="O778" s="26"/>
      <c r="P778" s="175"/>
      <c r="Q778" s="175"/>
      <c r="R778" s="175"/>
      <c r="S778" s="175"/>
      <c r="T778" s="175"/>
      <c r="V778" s="176"/>
      <c r="Y778" s="168"/>
      <c r="Z778" s="26"/>
      <c r="AA778" s="168"/>
      <c r="AB778" s="26"/>
      <c r="AC778" s="168"/>
      <c r="AD778" s="168"/>
      <c r="AE778" s="168"/>
      <c r="AF778" s="168"/>
      <c r="AG778" s="168"/>
      <c r="AH778" s="26"/>
      <c r="AI778" s="26"/>
      <c r="AJ778" s="26"/>
      <c r="AK778" s="27"/>
    </row>
    <row r="779" spans="5:37" s="169" customFormat="1" ht="14.35" x14ac:dyDescent="0.5">
      <c r="E779" s="168"/>
      <c r="F779" s="168"/>
      <c r="G779" s="168"/>
      <c r="H779" s="174"/>
      <c r="I779" s="183"/>
      <c r="J779" s="174"/>
      <c r="K779" s="174"/>
      <c r="L779" s="26"/>
      <c r="M779" s="26"/>
      <c r="N779" s="26"/>
      <c r="O779" s="26"/>
      <c r="P779" s="175"/>
      <c r="Q779" s="175"/>
      <c r="R779" s="175"/>
      <c r="S779" s="175"/>
      <c r="T779" s="175"/>
      <c r="V779" s="176"/>
      <c r="Y779" s="168"/>
      <c r="Z779" s="26"/>
      <c r="AA779" s="168"/>
      <c r="AB779" s="26"/>
      <c r="AC779" s="168"/>
      <c r="AD779" s="168"/>
      <c r="AE779" s="168"/>
      <c r="AF779" s="168"/>
      <c r="AG779" s="168"/>
      <c r="AH779" s="26"/>
      <c r="AI779" s="26"/>
      <c r="AJ779" s="26"/>
      <c r="AK779" s="27"/>
    </row>
    <row r="780" spans="5:37" s="169" customFormat="1" ht="14.35" x14ac:dyDescent="0.5">
      <c r="E780" s="168"/>
      <c r="F780" s="168"/>
      <c r="G780" s="168"/>
      <c r="H780" s="174"/>
      <c r="I780" s="183"/>
      <c r="J780" s="174"/>
      <c r="K780" s="174"/>
      <c r="L780" s="26"/>
      <c r="M780" s="26"/>
      <c r="N780" s="26"/>
      <c r="O780" s="26"/>
      <c r="P780" s="175"/>
      <c r="Q780" s="175"/>
      <c r="R780" s="175"/>
      <c r="S780" s="175"/>
      <c r="T780" s="175"/>
      <c r="V780" s="176"/>
      <c r="Y780" s="168"/>
      <c r="Z780" s="26"/>
      <c r="AA780" s="168"/>
      <c r="AB780" s="26"/>
      <c r="AC780" s="168"/>
      <c r="AD780" s="168"/>
      <c r="AE780" s="168"/>
      <c r="AF780" s="168"/>
      <c r="AG780" s="168"/>
      <c r="AH780" s="26"/>
      <c r="AI780" s="26"/>
      <c r="AJ780" s="26"/>
      <c r="AK780" s="27"/>
    </row>
    <row r="781" spans="5:37" s="169" customFormat="1" ht="14.35" x14ac:dyDescent="0.5">
      <c r="E781" s="168"/>
      <c r="F781" s="168"/>
      <c r="G781" s="168"/>
      <c r="H781" s="174"/>
      <c r="I781" s="183"/>
      <c r="J781" s="174"/>
      <c r="K781" s="174"/>
      <c r="L781" s="26"/>
      <c r="M781" s="26"/>
      <c r="N781" s="26"/>
      <c r="O781" s="26"/>
      <c r="P781" s="175"/>
      <c r="Q781" s="175"/>
      <c r="R781" s="175"/>
      <c r="S781" s="175"/>
      <c r="T781" s="175"/>
      <c r="V781" s="176"/>
      <c r="Y781" s="168"/>
      <c r="Z781" s="26"/>
      <c r="AA781" s="168"/>
      <c r="AB781" s="26"/>
      <c r="AC781" s="168"/>
      <c r="AD781" s="168"/>
      <c r="AE781" s="168"/>
      <c r="AF781" s="168"/>
      <c r="AG781" s="168"/>
      <c r="AH781" s="26"/>
      <c r="AI781" s="26"/>
      <c r="AJ781" s="26"/>
      <c r="AK781" s="27"/>
    </row>
    <row r="782" spans="5:37" s="169" customFormat="1" ht="14.35" x14ac:dyDescent="0.5">
      <c r="E782" s="168"/>
      <c r="F782" s="168"/>
      <c r="G782" s="168"/>
      <c r="H782" s="174"/>
      <c r="I782" s="183"/>
      <c r="J782" s="174"/>
      <c r="K782" s="174"/>
      <c r="L782" s="26"/>
      <c r="M782" s="26"/>
      <c r="N782" s="26"/>
      <c r="O782" s="26"/>
      <c r="P782" s="175"/>
      <c r="Q782" s="175"/>
      <c r="R782" s="175"/>
      <c r="S782" s="175"/>
      <c r="T782" s="175"/>
      <c r="V782" s="176"/>
      <c r="Y782" s="168"/>
      <c r="Z782" s="26"/>
      <c r="AA782" s="168"/>
      <c r="AB782" s="26"/>
      <c r="AC782" s="168"/>
      <c r="AD782" s="168"/>
      <c r="AE782" s="168"/>
      <c r="AF782" s="168"/>
      <c r="AG782" s="168"/>
      <c r="AH782" s="26"/>
      <c r="AI782" s="26"/>
      <c r="AJ782" s="26"/>
      <c r="AK782" s="27"/>
    </row>
    <row r="783" spans="5:37" s="169" customFormat="1" ht="14.35" x14ac:dyDescent="0.5">
      <c r="E783" s="168"/>
      <c r="F783" s="168"/>
      <c r="G783" s="168"/>
      <c r="H783" s="174"/>
      <c r="I783" s="183"/>
      <c r="J783" s="174"/>
      <c r="K783" s="174"/>
      <c r="L783" s="26"/>
      <c r="M783" s="26"/>
      <c r="N783" s="26"/>
      <c r="O783" s="26"/>
      <c r="P783" s="175"/>
      <c r="Q783" s="175"/>
      <c r="R783" s="175"/>
      <c r="S783" s="175"/>
      <c r="T783" s="175"/>
      <c r="V783" s="176"/>
      <c r="Y783" s="168"/>
      <c r="Z783" s="26"/>
      <c r="AA783" s="168"/>
      <c r="AB783" s="26"/>
      <c r="AC783" s="168"/>
      <c r="AD783" s="168"/>
      <c r="AE783" s="168"/>
      <c r="AF783" s="168"/>
      <c r="AG783" s="168"/>
      <c r="AH783" s="26"/>
      <c r="AI783" s="26"/>
      <c r="AJ783" s="26"/>
      <c r="AK783" s="27"/>
    </row>
    <row r="784" spans="5:37" s="169" customFormat="1" ht="14.35" x14ac:dyDescent="0.5">
      <c r="E784" s="168"/>
      <c r="F784" s="168"/>
      <c r="G784" s="168"/>
      <c r="H784" s="174"/>
      <c r="I784" s="183"/>
      <c r="J784" s="174"/>
      <c r="K784" s="174"/>
      <c r="L784" s="26"/>
      <c r="M784" s="26"/>
      <c r="N784" s="26"/>
      <c r="O784" s="26"/>
      <c r="P784" s="175"/>
      <c r="Q784" s="175"/>
      <c r="R784" s="175"/>
      <c r="S784" s="175"/>
      <c r="T784" s="175"/>
      <c r="V784" s="176"/>
      <c r="Y784" s="168"/>
      <c r="Z784" s="26"/>
      <c r="AA784" s="168"/>
      <c r="AB784" s="26"/>
      <c r="AC784" s="168"/>
      <c r="AD784" s="168"/>
      <c r="AE784" s="168"/>
      <c r="AF784" s="168"/>
      <c r="AG784" s="168"/>
      <c r="AH784" s="26"/>
      <c r="AI784" s="26"/>
      <c r="AJ784" s="26"/>
      <c r="AK784" s="27"/>
    </row>
    <row r="785" spans="1:51" s="169" customFormat="1" ht="14.35" x14ac:dyDescent="0.5">
      <c r="E785" s="168"/>
      <c r="F785" s="168"/>
      <c r="G785" s="168"/>
      <c r="H785" s="174"/>
      <c r="I785" s="183"/>
      <c r="J785" s="174"/>
      <c r="K785" s="174"/>
      <c r="L785" s="26"/>
      <c r="M785" s="26"/>
      <c r="N785" s="26"/>
      <c r="O785" s="26"/>
      <c r="P785" s="175"/>
      <c r="Q785" s="175"/>
      <c r="R785" s="175"/>
      <c r="S785" s="175"/>
      <c r="T785" s="175"/>
      <c r="V785" s="176"/>
      <c r="Y785" s="168"/>
      <c r="Z785" s="26"/>
      <c r="AA785" s="168"/>
      <c r="AB785" s="26"/>
      <c r="AC785" s="168"/>
      <c r="AD785" s="168"/>
      <c r="AE785" s="168"/>
      <c r="AF785" s="168"/>
      <c r="AG785" s="168"/>
      <c r="AH785" s="26"/>
      <c r="AI785" s="26"/>
      <c r="AJ785" s="26"/>
      <c r="AK785" s="27"/>
    </row>
    <row r="786" spans="1:51" s="169" customFormat="1" ht="14.35" x14ac:dyDescent="0.5">
      <c r="E786" s="168"/>
      <c r="F786" s="168"/>
      <c r="G786" s="168"/>
      <c r="H786" s="174"/>
      <c r="I786" s="183"/>
      <c r="J786" s="174"/>
      <c r="K786" s="174"/>
      <c r="L786" s="26"/>
      <c r="M786" s="26"/>
      <c r="N786" s="26"/>
      <c r="O786" s="26"/>
      <c r="P786" s="175"/>
      <c r="Q786" s="175"/>
      <c r="R786" s="175"/>
      <c r="S786" s="175"/>
      <c r="T786" s="175"/>
      <c r="V786" s="176"/>
      <c r="Y786" s="168"/>
      <c r="Z786" s="26"/>
      <c r="AA786" s="168"/>
      <c r="AB786" s="26"/>
      <c r="AC786" s="168"/>
      <c r="AD786" s="168"/>
      <c r="AE786" s="168"/>
      <c r="AF786" s="168"/>
      <c r="AG786" s="168"/>
      <c r="AH786" s="26"/>
      <c r="AI786" s="26"/>
      <c r="AJ786" s="26"/>
      <c r="AK786" s="27"/>
    </row>
    <row r="787" spans="1:51" s="169" customFormat="1" ht="14.35" x14ac:dyDescent="0.5">
      <c r="E787" s="168"/>
      <c r="F787" s="168"/>
      <c r="G787" s="168"/>
      <c r="H787" s="174"/>
      <c r="I787" s="183"/>
      <c r="J787" s="174"/>
      <c r="K787" s="174"/>
      <c r="L787" s="26"/>
      <c r="M787" s="26"/>
      <c r="N787" s="26"/>
      <c r="O787" s="26"/>
      <c r="P787" s="175"/>
      <c r="Q787" s="175"/>
      <c r="R787" s="175"/>
      <c r="S787" s="175"/>
      <c r="T787" s="175"/>
      <c r="V787" s="176"/>
      <c r="Y787" s="168"/>
      <c r="Z787" s="26"/>
      <c r="AA787" s="168"/>
      <c r="AB787" s="26"/>
      <c r="AC787" s="168"/>
      <c r="AD787" s="168"/>
      <c r="AE787" s="168"/>
      <c r="AF787" s="168"/>
      <c r="AG787" s="168"/>
      <c r="AH787" s="26"/>
      <c r="AI787" s="26"/>
      <c r="AJ787" s="26"/>
      <c r="AK787" s="27"/>
    </row>
    <row r="788" spans="1:51" s="169" customFormat="1" ht="14.35" x14ac:dyDescent="0.5">
      <c r="E788" s="168"/>
      <c r="F788" s="168"/>
      <c r="G788" s="168"/>
      <c r="H788" s="174"/>
      <c r="I788" s="183"/>
      <c r="J788" s="174"/>
      <c r="K788" s="174"/>
      <c r="L788" s="26"/>
      <c r="M788" s="26"/>
      <c r="N788" s="26"/>
      <c r="O788" s="26"/>
      <c r="P788" s="175"/>
      <c r="Q788" s="175"/>
      <c r="R788" s="175"/>
      <c r="S788" s="175"/>
      <c r="T788" s="175"/>
      <c r="V788" s="176"/>
      <c r="Y788" s="168"/>
      <c r="Z788" s="26"/>
      <c r="AA788" s="168"/>
      <c r="AB788" s="26"/>
      <c r="AC788" s="168"/>
      <c r="AD788" s="168"/>
      <c r="AE788" s="168"/>
      <c r="AF788" s="168"/>
      <c r="AG788" s="168"/>
      <c r="AH788" s="26"/>
      <c r="AI788" s="26"/>
      <c r="AJ788" s="26"/>
      <c r="AK788" s="27"/>
    </row>
    <row r="789" spans="1:51" s="169" customFormat="1" ht="14.35" x14ac:dyDescent="0.5">
      <c r="E789" s="168"/>
      <c r="F789" s="168"/>
      <c r="G789" s="168"/>
      <c r="H789" s="174"/>
      <c r="I789" s="183"/>
      <c r="J789" s="174"/>
      <c r="K789" s="174"/>
      <c r="L789" s="26"/>
      <c r="M789" s="26"/>
      <c r="N789" s="26"/>
      <c r="O789" s="26"/>
      <c r="P789" s="175"/>
      <c r="Q789" s="175"/>
      <c r="R789" s="175"/>
      <c r="S789" s="175"/>
      <c r="T789" s="175"/>
      <c r="V789" s="176"/>
      <c r="Y789" s="168"/>
      <c r="Z789" s="26"/>
      <c r="AA789" s="168"/>
      <c r="AB789" s="26"/>
      <c r="AC789" s="168"/>
      <c r="AD789" s="168"/>
      <c r="AE789" s="168"/>
      <c r="AF789" s="168"/>
      <c r="AG789" s="168"/>
      <c r="AH789" s="26"/>
      <c r="AI789" s="26"/>
      <c r="AJ789" s="26"/>
      <c r="AK789" s="27"/>
    </row>
    <row r="790" spans="1:51" s="169" customFormat="1" ht="14.35" x14ac:dyDescent="0.5">
      <c r="E790" s="168"/>
      <c r="F790" s="168"/>
      <c r="G790" s="168"/>
      <c r="H790" s="174"/>
      <c r="I790" s="183"/>
      <c r="J790" s="174"/>
      <c r="K790" s="174"/>
      <c r="L790" s="26"/>
      <c r="M790" s="26"/>
      <c r="N790" s="26"/>
      <c r="O790" s="26"/>
      <c r="P790" s="175"/>
      <c r="Q790" s="175"/>
      <c r="R790" s="175"/>
      <c r="S790" s="175"/>
      <c r="T790" s="175"/>
      <c r="V790" s="176"/>
      <c r="Y790" s="168"/>
      <c r="Z790" s="26"/>
      <c r="AA790" s="168"/>
      <c r="AB790" s="26"/>
      <c r="AC790" s="168"/>
      <c r="AD790" s="168"/>
      <c r="AE790" s="168"/>
      <c r="AF790" s="168"/>
      <c r="AG790" s="168"/>
      <c r="AH790" s="26"/>
      <c r="AI790" s="26"/>
      <c r="AJ790" s="26"/>
      <c r="AK790" s="27"/>
    </row>
    <row r="791" spans="1:51" s="169" customFormat="1" ht="14.35" x14ac:dyDescent="0.5">
      <c r="E791" s="168"/>
      <c r="F791" s="168"/>
      <c r="G791" s="168"/>
      <c r="H791" s="174"/>
      <c r="I791" s="183"/>
      <c r="J791" s="174"/>
      <c r="K791" s="174"/>
      <c r="L791" s="26"/>
      <c r="M791" s="26"/>
      <c r="N791" s="26"/>
      <c r="O791" s="26"/>
      <c r="P791" s="175"/>
      <c r="Q791" s="175"/>
      <c r="R791" s="175"/>
      <c r="S791" s="175"/>
      <c r="T791" s="175"/>
      <c r="V791" s="176"/>
      <c r="Y791" s="168"/>
      <c r="Z791" s="26"/>
      <c r="AA791" s="168"/>
      <c r="AB791" s="26"/>
      <c r="AC791" s="168"/>
      <c r="AD791" s="168"/>
      <c r="AE791" s="168"/>
      <c r="AF791" s="168"/>
      <c r="AG791" s="168"/>
      <c r="AH791" s="26"/>
      <c r="AI791" s="26"/>
      <c r="AJ791" s="26"/>
      <c r="AK791" s="27"/>
    </row>
    <row r="792" spans="1:51" s="169" customFormat="1" ht="14.35" x14ac:dyDescent="0.5">
      <c r="E792" s="168"/>
      <c r="F792" s="168"/>
      <c r="G792" s="168"/>
      <c r="H792" s="174"/>
      <c r="I792" s="183"/>
      <c r="J792" s="174"/>
      <c r="K792" s="174"/>
      <c r="L792" s="26"/>
      <c r="M792" s="26"/>
      <c r="N792" s="26"/>
      <c r="O792" s="26"/>
      <c r="P792" s="175"/>
      <c r="Q792" s="175"/>
      <c r="R792" s="175"/>
      <c r="S792" s="175"/>
      <c r="T792" s="175"/>
      <c r="V792" s="176"/>
      <c r="Y792" s="168"/>
      <c r="Z792" s="26"/>
      <c r="AA792" s="168"/>
      <c r="AB792" s="26"/>
      <c r="AC792" s="168"/>
      <c r="AD792" s="168"/>
      <c r="AE792" s="168"/>
      <c r="AF792" s="168"/>
      <c r="AG792" s="168"/>
      <c r="AH792" s="26"/>
      <c r="AI792" s="26"/>
      <c r="AJ792" s="26"/>
      <c r="AK792" s="27"/>
    </row>
    <row r="793" spans="1:51" s="169" customFormat="1" ht="14.35" x14ac:dyDescent="0.5">
      <c r="E793" s="168"/>
      <c r="F793" s="168"/>
      <c r="G793" s="168"/>
      <c r="H793" s="174"/>
      <c r="I793" s="183"/>
      <c r="J793" s="174"/>
      <c r="K793" s="174"/>
      <c r="L793" s="26"/>
      <c r="M793" s="26"/>
      <c r="N793" s="26"/>
      <c r="O793" s="26"/>
      <c r="P793" s="175"/>
      <c r="Q793" s="175"/>
      <c r="R793" s="175"/>
      <c r="S793" s="175"/>
      <c r="T793" s="175"/>
      <c r="V793" s="176"/>
      <c r="Y793" s="168"/>
      <c r="Z793" s="26"/>
      <c r="AA793" s="168"/>
      <c r="AB793" s="26"/>
      <c r="AC793" s="168"/>
      <c r="AD793" s="168"/>
      <c r="AE793" s="168"/>
      <c r="AF793" s="168"/>
      <c r="AG793" s="168"/>
      <c r="AH793" s="26"/>
      <c r="AI793" s="26"/>
      <c r="AJ793" s="26"/>
      <c r="AK793" s="27"/>
    </row>
    <row r="794" spans="1:51" s="169" customFormat="1" ht="14.35" x14ac:dyDescent="0.5">
      <c r="E794" s="168"/>
      <c r="F794" s="168"/>
      <c r="G794" s="168"/>
      <c r="H794" s="174"/>
      <c r="I794" s="183"/>
      <c r="J794" s="174"/>
      <c r="K794" s="174"/>
      <c r="L794" s="26"/>
      <c r="M794" s="26"/>
      <c r="N794" s="26"/>
      <c r="O794" s="26"/>
      <c r="P794" s="175"/>
      <c r="Q794" s="175"/>
      <c r="R794" s="175"/>
      <c r="S794" s="175"/>
      <c r="T794" s="175"/>
      <c r="V794" s="176"/>
      <c r="Y794" s="168"/>
      <c r="Z794" s="26"/>
      <c r="AA794" s="168"/>
      <c r="AB794" s="26"/>
      <c r="AC794" s="168"/>
      <c r="AD794" s="168"/>
      <c r="AE794" s="168"/>
      <c r="AF794" s="168"/>
      <c r="AG794" s="168"/>
      <c r="AH794" s="26"/>
      <c r="AI794" s="26"/>
      <c r="AJ794" s="26"/>
      <c r="AK794" s="27"/>
    </row>
    <row r="795" spans="1:51" s="169" customFormat="1" ht="14.35" x14ac:dyDescent="0.5">
      <c r="A795" s="186"/>
      <c r="B795" s="186"/>
      <c r="C795" s="186"/>
      <c r="D795" s="187"/>
      <c r="E795" s="186"/>
      <c r="F795" s="186"/>
      <c r="G795" s="186"/>
      <c r="H795" s="188"/>
      <c r="I795" s="189"/>
      <c r="J795" s="188"/>
      <c r="K795" s="188"/>
      <c r="L795" s="187"/>
      <c r="M795" s="187"/>
      <c r="N795" s="187"/>
      <c r="O795" s="187"/>
      <c r="P795" s="190"/>
      <c r="Q795" s="190"/>
      <c r="R795" s="190"/>
      <c r="S795" s="190"/>
      <c r="T795" s="190"/>
      <c r="U795" s="191"/>
      <c r="V795"/>
      <c r="W795" s="191"/>
      <c r="X795" s="191"/>
      <c r="Y795" s="186"/>
      <c r="Z795" s="187"/>
      <c r="AA795" s="186"/>
      <c r="AB795" s="187"/>
      <c r="AC795" s="186"/>
      <c r="AD795" s="186"/>
      <c r="AE795" s="186"/>
      <c r="AF795" s="186"/>
      <c r="AG795" s="186"/>
      <c r="AH795" s="187"/>
      <c r="AI795" s="26"/>
      <c r="AJ795" s="26"/>
      <c r="AK795" s="27"/>
    </row>
    <row r="796" spans="1:51" ht="14.35" x14ac:dyDescent="0.5">
      <c r="V796"/>
      <c r="AL796" s="169"/>
      <c r="AM796" s="169"/>
      <c r="AN796" s="169"/>
      <c r="AO796" s="169"/>
      <c r="AP796" s="169"/>
      <c r="AQ796" s="169"/>
      <c r="AR796" s="169"/>
      <c r="AS796" s="169"/>
      <c r="AT796" s="169"/>
      <c r="AU796" s="169"/>
      <c r="AV796" s="169"/>
      <c r="AW796" s="169"/>
      <c r="AX796" s="169"/>
      <c r="AY796" s="169"/>
    </row>
    <row r="797" spans="1:51" ht="14.35" x14ac:dyDescent="0.5">
      <c r="V797"/>
      <c r="AL797" s="169"/>
      <c r="AM797" s="169"/>
      <c r="AN797" s="169"/>
      <c r="AO797" s="169"/>
      <c r="AP797" s="169"/>
      <c r="AQ797" s="169"/>
      <c r="AR797" s="169"/>
      <c r="AS797" s="169"/>
      <c r="AT797" s="169"/>
      <c r="AU797" s="169"/>
      <c r="AV797" s="169"/>
      <c r="AW797" s="169"/>
      <c r="AX797" s="169"/>
      <c r="AY797" s="169"/>
    </row>
    <row r="798" spans="1:51" ht="14.35" x14ac:dyDescent="0.5">
      <c r="V798"/>
      <c r="AL798" s="169"/>
      <c r="AM798" s="169"/>
      <c r="AN798" s="169"/>
      <c r="AO798" s="169"/>
      <c r="AP798" s="169"/>
      <c r="AQ798" s="169"/>
      <c r="AR798" s="169"/>
      <c r="AS798" s="169"/>
      <c r="AT798" s="169"/>
      <c r="AU798" s="169"/>
      <c r="AV798" s="169"/>
      <c r="AW798" s="169"/>
      <c r="AX798" s="169"/>
      <c r="AY798" s="169"/>
    </row>
    <row r="799" spans="1:51" ht="14.35" x14ac:dyDescent="0.5">
      <c r="V799"/>
      <c r="AL799" s="169"/>
      <c r="AM799" s="169"/>
      <c r="AN799" s="169"/>
      <c r="AO799" s="169"/>
      <c r="AP799" s="169"/>
      <c r="AQ799" s="169"/>
      <c r="AR799" s="169"/>
      <c r="AS799" s="169"/>
      <c r="AT799" s="169"/>
      <c r="AU799" s="169"/>
      <c r="AV799" s="169"/>
      <c r="AW799" s="169"/>
      <c r="AX799" s="169"/>
      <c r="AY799" s="169"/>
    </row>
    <row r="800" spans="1:51" ht="14.35" x14ac:dyDescent="0.5">
      <c r="V800"/>
      <c r="AL800" s="169"/>
      <c r="AM800" s="169"/>
      <c r="AN800" s="169"/>
      <c r="AO800" s="169"/>
      <c r="AP800" s="169"/>
      <c r="AQ800" s="169"/>
      <c r="AR800" s="169"/>
      <c r="AS800" s="169"/>
      <c r="AT800" s="169"/>
      <c r="AU800" s="169"/>
      <c r="AV800" s="169"/>
      <c r="AW800" s="169"/>
      <c r="AX800" s="169"/>
      <c r="AY800" s="169"/>
    </row>
    <row r="801" spans="22:51" ht="14.35" x14ac:dyDescent="0.5">
      <c r="V801"/>
      <c r="AL801" s="169"/>
      <c r="AM801" s="169"/>
      <c r="AN801" s="169"/>
      <c r="AO801" s="169"/>
      <c r="AP801" s="169"/>
      <c r="AQ801" s="169"/>
      <c r="AR801" s="169"/>
      <c r="AS801" s="169"/>
      <c r="AT801" s="169"/>
      <c r="AU801" s="169"/>
      <c r="AV801" s="169"/>
      <c r="AW801" s="169"/>
      <c r="AX801" s="169"/>
      <c r="AY801" s="169"/>
    </row>
    <row r="802" spans="22:51" ht="14.35" x14ac:dyDescent="0.5">
      <c r="V802"/>
      <c r="AL802" s="169"/>
      <c r="AM802" s="169"/>
      <c r="AN802" s="169"/>
      <c r="AO802" s="169"/>
      <c r="AP802" s="169"/>
      <c r="AQ802" s="169"/>
      <c r="AR802" s="169"/>
      <c r="AS802" s="169"/>
      <c r="AT802" s="169"/>
      <c r="AU802" s="169"/>
      <c r="AV802" s="169"/>
      <c r="AW802" s="169"/>
      <c r="AX802" s="169"/>
      <c r="AY802" s="169"/>
    </row>
    <row r="803" spans="22:51" ht="14.35" x14ac:dyDescent="0.5">
      <c r="V803"/>
      <c r="AL803" s="169"/>
      <c r="AM803" s="169"/>
      <c r="AN803" s="169"/>
      <c r="AO803" s="169"/>
      <c r="AP803" s="169"/>
      <c r="AQ803" s="169"/>
      <c r="AR803" s="169"/>
      <c r="AS803" s="169"/>
      <c r="AT803" s="169"/>
      <c r="AU803" s="169"/>
      <c r="AV803" s="169"/>
      <c r="AW803" s="169"/>
      <c r="AX803" s="169"/>
      <c r="AY803" s="169"/>
    </row>
    <row r="804" spans="22:51" ht="14.35" x14ac:dyDescent="0.5">
      <c r="V804"/>
      <c r="AL804" s="169"/>
      <c r="AM804" s="169"/>
      <c r="AN804" s="169"/>
      <c r="AO804" s="169"/>
      <c r="AP804" s="169"/>
      <c r="AQ804" s="169"/>
      <c r="AR804" s="169"/>
      <c r="AS804" s="169"/>
      <c r="AT804" s="169"/>
      <c r="AU804" s="169"/>
      <c r="AV804" s="169"/>
      <c r="AW804" s="169"/>
      <c r="AX804" s="169"/>
      <c r="AY804" s="169"/>
    </row>
    <row r="805" spans="22:51" ht="14.35" x14ac:dyDescent="0.5">
      <c r="V805"/>
      <c r="AL805" s="169"/>
      <c r="AM805" s="169"/>
      <c r="AN805" s="169"/>
      <c r="AO805" s="169"/>
      <c r="AP805" s="169"/>
      <c r="AQ805" s="169"/>
      <c r="AR805" s="169"/>
      <c r="AS805" s="169"/>
      <c r="AT805" s="169"/>
      <c r="AU805" s="169"/>
      <c r="AV805" s="169"/>
      <c r="AW805" s="169"/>
      <c r="AX805" s="169"/>
      <c r="AY805" s="169"/>
    </row>
    <row r="806" spans="22:51" ht="14.35" x14ac:dyDescent="0.5">
      <c r="V806"/>
    </row>
    <row r="807" spans="22:51" ht="14.35" x14ac:dyDescent="0.5">
      <c r="V807"/>
    </row>
    <row r="808" spans="22:51" ht="14.35" x14ac:dyDescent="0.5">
      <c r="V808"/>
    </row>
    <row r="862" spans="12:12" x14ac:dyDescent="0.45">
      <c r="L862" s="187" t="e">
        <f>SUBTOTAL(9,#REF!:'NBN_MWI &amp; Pipe Data'!L861)</f>
        <v>#REF!</v>
      </c>
    </row>
  </sheetData>
  <autoFilter ref="A1:AU712">
    <sortState ref="A499:AU499">
      <sortCondition sortBy="fontColor" ref="O1:O627" dxfId="0"/>
    </sortState>
  </autoFilter>
  <dataConsolidate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NBN_MWI &amp; Pipe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Marov</dc:creator>
  <cp:lastModifiedBy>Damien Marov</cp:lastModifiedBy>
  <dcterms:created xsi:type="dcterms:W3CDTF">2019-03-19T19:30:03Z</dcterms:created>
  <dcterms:modified xsi:type="dcterms:W3CDTF">2019-03-19T19:30:30Z</dcterms:modified>
</cp:coreProperties>
</file>